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66925"/>
  <mc:AlternateContent xmlns:mc="http://schemas.openxmlformats.org/markup-compatibility/2006">
    <mc:Choice Requires="x15">
      <x15ac:absPath xmlns:x15ac="http://schemas.microsoft.com/office/spreadsheetml/2010/11/ac" url="https://rebelnl.sharepoint.com/Internal/rge/Shared Documents/1. Projecten/1. Circ/6106 Milieu-impact Ja-Jasticker VNG/1. Model/"/>
    </mc:Choice>
  </mc:AlternateContent>
  <xr:revisionPtr revIDLastSave="213" documentId="8_{6E5AFF73-FCEC-47A4-8B78-8A49B1C3A8D1}" xr6:coauthVersionLast="45" xr6:coauthVersionMax="45" xr10:uidLastSave="{C58479BD-FD33-4088-B120-55D733560B9F}"/>
  <bookViews>
    <workbookView xWindow="-108" yWindow="-108" windowWidth="23256" windowHeight="12576" tabRatio="718" activeTab="1" xr2:uid="{00000000-000D-0000-FFFF-FFFF00000000}"/>
  </bookViews>
  <sheets>
    <sheet name="Instructies" sheetId="19" r:id="rId1"/>
    <sheet name="Dashboard" sheetId="4" r:id="rId2"/>
    <sheet name="Inputs" sheetId="1" r:id="rId3"/>
    <sheet name="Wachtwoorden" sheetId="21" state="veryHidden" r:id="rId4"/>
    <sheet name="Berekeningen (huidig)" sheetId="7" r:id="rId5"/>
    <sheet name="Berekeningen (toekomst)" sheetId="18" r:id="rId6"/>
    <sheet name="Resultaten" sheetId="12" r:id="rId7"/>
    <sheet name="Gemeentecijfers" sheetId="20" state="veryHidden" r:id="rId8"/>
    <sheet name="Invul-cijfers dashboard" sheetId="14" state="veryHidden" r:id="rId9"/>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8" i="4" l="1"/>
  <c r="F107" i="4" l="1"/>
  <c r="ND37" i="20" l="1"/>
  <c r="ND36" i="20"/>
  <c r="ND30" i="20"/>
  <c r="ND31" i="20" s="1"/>
  <c r="ND27" i="20"/>
  <c r="ND24" i="20"/>
  <c r="NC5" i="20" l="1"/>
  <c r="NB5" i="20"/>
  <c r="NA5" i="20"/>
  <c r="MZ5" i="20"/>
  <c r="MY5" i="20"/>
  <c r="MX5" i="20"/>
  <c r="MW5" i="20"/>
  <c r="MV5" i="20"/>
  <c r="MU5" i="20"/>
  <c r="MT5" i="20"/>
  <c r="MS5" i="20"/>
  <c r="MR5" i="20"/>
  <c r="MQ5" i="20"/>
  <c r="MP5" i="20"/>
  <c r="MO5" i="20"/>
  <c r="MN5" i="20"/>
  <c r="MM5" i="20"/>
  <c r="ML5" i="20"/>
  <c r="MK5" i="20"/>
  <c r="MJ5" i="20"/>
  <c r="MI5" i="20"/>
  <c r="MH5" i="20"/>
  <c r="MG5" i="20"/>
  <c r="MF5" i="20"/>
  <c r="ME5" i="20"/>
  <c r="MD5" i="20"/>
  <c r="MC5" i="20"/>
  <c r="MB5" i="20"/>
  <c r="MA5" i="20"/>
  <c r="LZ5" i="20"/>
  <c r="LY5" i="20"/>
  <c r="LX5" i="20"/>
  <c r="LW5" i="20"/>
  <c r="LV5" i="20"/>
  <c r="LU5" i="20"/>
  <c r="LT5" i="20"/>
  <c r="LS5" i="20"/>
  <c r="LR5" i="20"/>
  <c r="LQ5" i="20"/>
  <c r="LP5" i="20"/>
  <c r="LO5" i="20"/>
  <c r="LN5" i="20"/>
  <c r="LM5" i="20"/>
  <c r="LL5" i="20"/>
  <c r="LK5" i="20"/>
  <c r="LJ5" i="20"/>
  <c r="LI5" i="20"/>
  <c r="LH5" i="20"/>
  <c r="LG5" i="20"/>
  <c r="LF5" i="20"/>
  <c r="LE5" i="20"/>
  <c r="LD5" i="20"/>
  <c r="LC5" i="20"/>
  <c r="LB5" i="20"/>
  <c r="LA5" i="20"/>
  <c r="KZ5" i="20"/>
  <c r="KY5" i="20"/>
  <c r="KX5" i="20"/>
  <c r="KW5" i="20"/>
  <c r="KV5" i="20"/>
  <c r="KU5" i="20"/>
  <c r="KT5" i="20"/>
  <c r="KS5" i="20"/>
  <c r="KR5" i="20"/>
  <c r="KQ5" i="20"/>
  <c r="KP5" i="20"/>
  <c r="KO5" i="20"/>
  <c r="KN5" i="20"/>
  <c r="KM5" i="20"/>
  <c r="KL5" i="20"/>
  <c r="KK5" i="20"/>
  <c r="KJ5" i="20"/>
  <c r="KI5" i="20"/>
  <c r="KH5" i="20"/>
  <c r="KG5" i="20"/>
  <c r="KF5" i="20"/>
  <c r="KE5" i="20"/>
  <c r="KD5" i="20"/>
  <c r="KC5" i="20"/>
  <c r="KB5" i="20"/>
  <c r="KA5" i="20"/>
  <c r="JZ5" i="20"/>
  <c r="JY5" i="20"/>
  <c r="JX5" i="20"/>
  <c r="JW5" i="20"/>
  <c r="JV5" i="20"/>
  <c r="JU5" i="20"/>
  <c r="JT5" i="20"/>
  <c r="JS5" i="20"/>
  <c r="JR5" i="20"/>
  <c r="JQ5" i="20"/>
  <c r="JP5" i="20"/>
  <c r="JO5" i="20"/>
  <c r="JN5" i="20"/>
  <c r="JM5" i="20"/>
  <c r="JL5" i="20"/>
  <c r="JK5" i="20"/>
  <c r="JJ5" i="20"/>
  <c r="JI5" i="20"/>
  <c r="JH5" i="20"/>
  <c r="JG5" i="20"/>
  <c r="JF5" i="20"/>
  <c r="JE5" i="20"/>
  <c r="JD5" i="20"/>
  <c r="JC5" i="20"/>
  <c r="JB5" i="20"/>
  <c r="JA5" i="20"/>
  <c r="IZ5" i="20"/>
  <c r="IY5" i="20"/>
  <c r="IX5" i="20"/>
  <c r="IW5" i="20"/>
  <c r="IV5" i="20"/>
  <c r="IU5" i="20"/>
  <c r="IT5" i="20"/>
  <c r="IS5" i="20"/>
  <c r="IR5" i="20"/>
  <c r="IQ5" i="20"/>
  <c r="IP5" i="20"/>
  <c r="IO5" i="20"/>
  <c r="IN5" i="20"/>
  <c r="IM5" i="20"/>
  <c r="IL5" i="20"/>
  <c r="IK5" i="20"/>
  <c r="IJ5" i="20"/>
  <c r="II5" i="20"/>
  <c r="IH5" i="20"/>
  <c r="IG5" i="20"/>
  <c r="IF5" i="20"/>
  <c r="IE5" i="20"/>
  <c r="ID5" i="20"/>
  <c r="IC5" i="20"/>
  <c r="IB5" i="20"/>
  <c r="IA5" i="20"/>
  <c r="HZ5" i="20"/>
  <c r="HY5" i="20"/>
  <c r="HX5" i="20"/>
  <c r="HW5" i="20"/>
  <c r="HV5" i="20"/>
  <c r="HU5" i="20"/>
  <c r="HT5" i="20"/>
  <c r="HS5" i="20"/>
  <c r="HR5" i="20"/>
  <c r="HQ5" i="20"/>
  <c r="HP5" i="20"/>
  <c r="HO5" i="20"/>
  <c r="HN5" i="20"/>
  <c r="HM5" i="20"/>
  <c r="HL5" i="20"/>
  <c r="HK5" i="20"/>
  <c r="HJ5" i="20"/>
  <c r="HI5" i="20"/>
  <c r="HH5" i="20"/>
  <c r="HG5" i="20"/>
  <c r="HF5" i="20"/>
  <c r="HE5" i="20"/>
  <c r="HD5" i="20"/>
  <c r="HC5" i="20"/>
  <c r="HB5" i="20"/>
  <c r="HA5" i="20"/>
  <c r="GZ5" i="20"/>
  <c r="GY5" i="20"/>
  <c r="GX5" i="20"/>
  <c r="GW5" i="20"/>
  <c r="GV5" i="20"/>
  <c r="GU5" i="20"/>
  <c r="GT5" i="20"/>
  <c r="GS5" i="20"/>
  <c r="GR5" i="20"/>
  <c r="GQ5" i="20"/>
  <c r="GP5" i="20"/>
  <c r="GO5" i="20"/>
  <c r="GN5" i="20"/>
  <c r="GM5" i="20"/>
  <c r="GL5" i="20"/>
  <c r="GK5" i="20"/>
  <c r="GJ5" i="20"/>
  <c r="GI5" i="20"/>
  <c r="GH5" i="20"/>
  <c r="GG5" i="20"/>
  <c r="GF5" i="20"/>
  <c r="GE5" i="20"/>
  <c r="GD5" i="20"/>
  <c r="GC5" i="20"/>
  <c r="GB5" i="20"/>
  <c r="GA5" i="20"/>
  <c r="FZ5" i="20"/>
  <c r="FY5" i="20"/>
  <c r="FX5" i="20"/>
  <c r="FW5" i="20"/>
  <c r="FV5" i="20"/>
  <c r="FU5" i="20"/>
  <c r="FT5" i="20"/>
  <c r="FS5" i="20"/>
  <c r="FR5" i="20"/>
  <c r="FQ5" i="20"/>
  <c r="FP5" i="20"/>
  <c r="FO5" i="20"/>
  <c r="FN5" i="20"/>
  <c r="FM5" i="20"/>
  <c r="FL5" i="20"/>
  <c r="FK5" i="20"/>
  <c r="FJ5" i="20"/>
  <c r="FI5" i="20"/>
  <c r="FH5" i="20"/>
  <c r="FG5" i="20"/>
  <c r="FF5" i="20"/>
  <c r="FE5" i="20"/>
  <c r="FD5" i="20"/>
  <c r="FC5" i="20"/>
  <c r="FB5" i="20"/>
  <c r="FA5" i="20"/>
  <c r="EZ5" i="20"/>
  <c r="EY5" i="20"/>
  <c r="EX5" i="20"/>
  <c r="EW5" i="20"/>
  <c r="EV5" i="20"/>
  <c r="EU5" i="20"/>
  <c r="ET5" i="20"/>
  <c r="ES5" i="20"/>
  <c r="ER5" i="20"/>
  <c r="EQ5" i="20"/>
  <c r="EP5" i="20"/>
  <c r="EO5" i="20"/>
  <c r="EN5" i="20"/>
  <c r="EM5" i="20"/>
  <c r="EL5" i="20"/>
  <c r="EK5" i="20"/>
  <c r="EJ5" i="20"/>
  <c r="EI5" i="20"/>
  <c r="EH5" i="20"/>
  <c r="EG5" i="20"/>
  <c r="EF5" i="20"/>
  <c r="EE5" i="20"/>
  <c r="ED5" i="20"/>
  <c r="EC5" i="20"/>
  <c r="EB5" i="20"/>
  <c r="EA5" i="20"/>
  <c r="DZ5" i="20"/>
  <c r="DY5" i="20"/>
  <c r="DX5" i="20"/>
  <c r="DW5" i="20"/>
  <c r="DV5" i="20"/>
  <c r="DU5" i="20"/>
  <c r="DT5" i="20"/>
  <c r="DS5" i="20"/>
  <c r="DR5" i="20"/>
  <c r="DQ5" i="20"/>
  <c r="DP5" i="20"/>
  <c r="DO5" i="20"/>
  <c r="DN5" i="20"/>
  <c r="DM5" i="20"/>
  <c r="DL5" i="20"/>
  <c r="DK5" i="20"/>
  <c r="DJ5" i="20"/>
  <c r="DI5" i="20"/>
  <c r="DH5" i="20"/>
  <c r="DG5" i="20"/>
  <c r="DF5" i="20"/>
  <c r="DE5" i="20"/>
  <c r="DD5" i="20"/>
  <c r="DC5" i="20"/>
  <c r="DB5" i="20"/>
  <c r="DA5" i="20"/>
  <c r="CZ5" i="20"/>
  <c r="CY5" i="20"/>
  <c r="CX5" i="20"/>
  <c r="CW5" i="20"/>
  <c r="CV5" i="20"/>
  <c r="CU5" i="20"/>
  <c r="CT5" i="20"/>
  <c r="CS5" i="20"/>
  <c r="CR5" i="20"/>
  <c r="CQ5" i="20"/>
  <c r="CP5" i="20"/>
  <c r="CO5" i="20"/>
  <c r="CN5" i="20"/>
  <c r="CM5" i="20"/>
  <c r="CL5" i="20"/>
  <c r="CK5" i="20"/>
  <c r="CJ5" i="20"/>
  <c r="CI5" i="20"/>
  <c r="CH5" i="20"/>
  <c r="CG5" i="20"/>
  <c r="CF5" i="20"/>
  <c r="CE5" i="20"/>
  <c r="CD5" i="20"/>
  <c r="CC5" i="20"/>
  <c r="CB5" i="20"/>
  <c r="CA5" i="20"/>
  <c r="BZ5" i="20"/>
  <c r="BY5" i="20"/>
  <c r="BX5" i="20"/>
  <c r="BW5" i="20"/>
  <c r="BV5" i="20"/>
  <c r="BU5" i="20"/>
  <c r="BT5" i="20"/>
  <c r="BS5" i="20"/>
  <c r="BR5" i="20"/>
  <c r="BQ5" i="20"/>
  <c r="BP5" i="20"/>
  <c r="BO5" i="20"/>
  <c r="BN5" i="20"/>
  <c r="BM5" i="20"/>
  <c r="BL5" i="20"/>
  <c r="BK5" i="20"/>
  <c r="BJ5" i="20"/>
  <c r="BI5" i="20"/>
  <c r="BH5" i="20"/>
  <c r="BG5" i="20"/>
  <c r="BF5" i="20"/>
  <c r="BE5" i="20"/>
  <c r="BD5" i="20"/>
  <c r="BC5" i="20"/>
  <c r="BB5" i="20"/>
  <c r="BA5" i="20"/>
  <c r="AZ5" i="20"/>
  <c r="AY5" i="20"/>
  <c r="AX5" i="20"/>
  <c r="AW5" i="20"/>
  <c r="AV5" i="20"/>
  <c r="AU5" i="20"/>
  <c r="AT5" i="20"/>
  <c r="AS5" i="20"/>
  <c r="AR5" i="20"/>
  <c r="AQ5" i="20"/>
  <c r="AP5" i="20"/>
  <c r="AO5" i="20"/>
  <c r="AN5" i="20"/>
  <c r="AM5" i="20"/>
  <c r="AL5" i="20"/>
  <c r="AK5" i="20"/>
  <c r="AJ5" i="20"/>
  <c r="AI5" i="20"/>
  <c r="AH5" i="20"/>
  <c r="AG5" i="20"/>
  <c r="AF5" i="20"/>
  <c r="AE5" i="20"/>
  <c r="AD5" i="20"/>
  <c r="AC5" i="20"/>
  <c r="AB5" i="20"/>
  <c r="AA5" i="20"/>
  <c r="Z5" i="20"/>
  <c r="Y5" i="20"/>
  <c r="X5" i="20"/>
  <c r="W5" i="20"/>
  <c r="V5" i="20"/>
  <c r="U5" i="20"/>
  <c r="T5" i="20"/>
  <c r="S5" i="20"/>
  <c r="R5" i="20"/>
  <c r="Q5" i="20"/>
  <c r="P5" i="20"/>
  <c r="O5" i="20"/>
  <c r="N5" i="20"/>
  <c r="M5" i="20"/>
  <c r="H1336" i="18"/>
  <c r="F1336" i="18"/>
  <c r="H1309" i="18"/>
  <c r="G1309" i="18"/>
  <c r="F1309" i="18"/>
  <c r="K8" i="20"/>
  <c r="K9" i="20" s="1"/>
  <c r="K10" i="20" s="1"/>
  <c r="K11" i="20" s="1"/>
  <c r="K12" i="20" s="1"/>
  <c r="K13" i="20" s="1"/>
  <c r="K14" i="20" s="1"/>
  <c r="K15" i="20" s="1"/>
  <c r="K16" i="20" s="1"/>
  <c r="K17" i="20" s="1"/>
  <c r="K18" i="20" s="1"/>
  <c r="K19" i="20" s="1"/>
  <c r="K20" i="20" s="1"/>
  <c r="K21" i="20" s="1"/>
  <c r="K22" i="20" s="1"/>
  <c r="K23" i="20" s="1"/>
  <c r="K24" i="20" s="1"/>
  <c r="K25" i="20" s="1"/>
  <c r="K26" i="20" s="1"/>
  <c r="K27" i="20" s="1"/>
  <c r="K28" i="20" s="1"/>
  <c r="K29" i="20" s="1"/>
  <c r="K30" i="20" s="1"/>
  <c r="K31" i="20" s="1"/>
  <c r="K32" i="20" s="1"/>
  <c r="K33" i="20" s="1"/>
  <c r="K34" i="20" s="1"/>
  <c r="K35" i="20" s="1"/>
  <c r="K36" i="20" s="1"/>
  <c r="K37" i="20" s="1"/>
  <c r="K38" i="20" s="1"/>
  <c r="K39" i="20" s="1"/>
  <c r="K40" i="20" s="1"/>
  <c r="K41" i="20" s="1"/>
  <c r="K42" i="20" s="1"/>
  <c r="G52" i="7" l="1"/>
  <c r="G51" i="7"/>
  <c r="H277" i="18"/>
  <c r="F277" i="18"/>
  <c r="H235" i="18"/>
  <c r="F235" i="18"/>
  <c r="H212" i="18"/>
  <c r="F212" i="18"/>
  <c r="G31" i="18"/>
  <c r="F31" i="18"/>
  <c r="G30" i="18"/>
  <c r="F30" i="18"/>
  <c r="H196" i="7"/>
  <c r="F196" i="7"/>
  <c r="H155" i="7"/>
  <c r="F155" i="7"/>
  <c r="H132" i="7"/>
  <c r="F132" i="7"/>
  <c r="F52" i="7"/>
  <c r="F51" i="7"/>
  <c r="G29" i="7"/>
  <c r="F29" i="7"/>
  <c r="G28" i="7"/>
  <c r="F28" i="7"/>
  <c r="H102" i="18" l="1"/>
  <c r="H104" i="18"/>
  <c r="F104" i="18"/>
  <c r="H103" i="18"/>
  <c r="F103" i="18"/>
  <c r="F18" i="18"/>
  <c r="F33" i="18"/>
  <c r="G33" i="18"/>
  <c r="G81" i="18" s="1"/>
  <c r="G103" i="18" s="1"/>
  <c r="F34" i="18"/>
  <c r="G34" i="18"/>
  <c r="H585" i="18"/>
  <c r="F585" i="18"/>
  <c r="H261" i="18"/>
  <c r="F261" i="18"/>
  <c r="H317" i="18"/>
  <c r="G82" i="12" s="1"/>
  <c r="F317" i="18"/>
  <c r="E82" i="12" s="1"/>
  <c r="H297" i="18"/>
  <c r="G297" i="18"/>
  <c r="F297" i="18"/>
  <c r="H293" i="18"/>
  <c r="G293" i="18"/>
  <c r="F293" i="18"/>
  <c r="F302" i="18"/>
  <c r="E76" i="12" s="1"/>
  <c r="H302" i="18"/>
  <c r="G76" i="12" s="1"/>
  <c r="F303" i="18"/>
  <c r="E77" i="12" s="1"/>
  <c r="H303" i="18"/>
  <c r="G77" i="12" s="1"/>
  <c r="F304" i="18"/>
  <c r="E86" i="12" s="1"/>
  <c r="H304" i="18"/>
  <c r="G86" i="12" s="1"/>
  <c r="H504" i="7"/>
  <c r="F504" i="7"/>
  <c r="H216" i="7"/>
  <c r="G216" i="7"/>
  <c r="F216" i="7"/>
  <c r="H491" i="7"/>
  <c r="F491" i="7"/>
  <c r="H490" i="7"/>
  <c r="F490" i="7"/>
  <c r="H181" i="7"/>
  <c r="F181" i="7"/>
  <c r="H236" i="7"/>
  <c r="G30" i="12" s="1"/>
  <c r="F236" i="7"/>
  <c r="E30" i="12" s="1"/>
  <c r="H212" i="7"/>
  <c r="G212" i="7"/>
  <c r="F212" i="7"/>
  <c r="H738" i="18" l="1"/>
  <c r="G738" i="18"/>
  <c r="F738" i="18"/>
  <c r="H657" i="7"/>
  <c r="G657" i="7"/>
  <c r="F657" i="7"/>
  <c r="H877" i="18" l="1"/>
  <c r="G877" i="18"/>
  <c r="F877" i="18"/>
  <c r="H876" i="18"/>
  <c r="G876" i="18"/>
  <c r="F876" i="18"/>
  <c r="H875" i="18"/>
  <c r="G875" i="18"/>
  <c r="F875" i="18"/>
  <c r="H874" i="18"/>
  <c r="G874" i="18"/>
  <c r="F874" i="18"/>
  <c r="H873" i="18"/>
  <c r="G873" i="18"/>
  <c r="F873" i="18"/>
  <c r="H872" i="18"/>
  <c r="G872" i="18"/>
  <c r="F872" i="18"/>
  <c r="H871" i="18"/>
  <c r="G871" i="18"/>
  <c r="F871" i="18"/>
  <c r="H870" i="18"/>
  <c r="G870" i="18"/>
  <c r="F870" i="18"/>
  <c r="H869" i="18"/>
  <c r="G869" i="18"/>
  <c r="F869" i="18"/>
  <c r="H868" i="18"/>
  <c r="G868" i="18"/>
  <c r="F868" i="18"/>
  <c r="H867" i="18"/>
  <c r="G867" i="18"/>
  <c r="F867" i="18"/>
  <c r="H866" i="18"/>
  <c r="G866" i="18"/>
  <c r="F866" i="18"/>
  <c r="H865" i="18"/>
  <c r="G865" i="18"/>
  <c r="F865" i="18"/>
  <c r="H863" i="18"/>
  <c r="G863" i="18"/>
  <c r="F863" i="18"/>
  <c r="H862" i="18"/>
  <c r="G862" i="18"/>
  <c r="F862" i="18"/>
  <c r="H861" i="18"/>
  <c r="G861" i="18"/>
  <c r="F861" i="18"/>
  <c r="H860" i="18"/>
  <c r="G860" i="18"/>
  <c r="F860" i="18"/>
  <c r="H859" i="18"/>
  <c r="G859" i="18"/>
  <c r="F859" i="18"/>
  <c r="H858" i="18"/>
  <c r="G858" i="18"/>
  <c r="F858" i="18"/>
  <c r="H857" i="18"/>
  <c r="G857" i="18"/>
  <c r="F857" i="18"/>
  <c r="H856" i="18"/>
  <c r="G856" i="18"/>
  <c r="F856" i="18"/>
  <c r="H855" i="18"/>
  <c r="G855" i="18"/>
  <c r="F855" i="18"/>
  <c r="H854" i="18"/>
  <c r="G854" i="18"/>
  <c r="F854" i="18"/>
  <c r="H853" i="18"/>
  <c r="G853" i="18"/>
  <c r="F853" i="18"/>
  <c r="H852" i="18"/>
  <c r="G852" i="18"/>
  <c r="F852" i="18"/>
  <c r="H851" i="18"/>
  <c r="G851" i="18"/>
  <c r="F851" i="18"/>
  <c r="H796" i="7"/>
  <c r="G796" i="7"/>
  <c r="F796" i="7"/>
  <c r="H795" i="7"/>
  <c r="G795" i="7"/>
  <c r="F795" i="7"/>
  <c r="H794" i="7"/>
  <c r="G794" i="7"/>
  <c r="F794" i="7"/>
  <c r="H793" i="7"/>
  <c r="G793" i="7"/>
  <c r="F793" i="7"/>
  <c r="H792" i="7"/>
  <c r="G792" i="7"/>
  <c r="F792" i="7"/>
  <c r="H791" i="7"/>
  <c r="G791" i="7"/>
  <c r="F791" i="7"/>
  <c r="H790" i="7"/>
  <c r="G790" i="7"/>
  <c r="F790" i="7"/>
  <c r="H789" i="7"/>
  <c r="G789" i="7"/>
  <c r="F789" i="7"/>
  <c r="H788" i="7"/>
  <c r="G788" i="7"/>
  <c r="F788" i="7"/>
  <c r="H787" i="7"/>
  <c r="G787" i="7"/>
  <c r="F787" i="7"/>
  <c r="H786" i="7"/>
  <c r="G786" i="7"/>
  <c r="F786" i="7"/>
  <c r="H785" i="7"/>
  <c r="G785" i="7"/>
  <c r="F785" i="7"/>
  <c r="H784" i="7"/>
  <c r="G784" i="7"/>
  <c r="F784" i="7"/>
  <c r="H782" i="7"/>
  <c r="G782" i="7"/>
  <c r="F782" i="7"/>
  <c r="H781" i="7"/>
  <c r="G781" i="7"/>
  <c r="F781" i="7"/>
  <c r="H780" i="7"/>
  <c r="G780" i="7"/>
  <c r="F780" i="7"/>
  <c r="H779" i="7"/>
  <c r="G779" i="7"/>
  <c r="F779" i="7"/>
  <c r="H778" i="7"/>
  <c r="G778" i="7"/>
  <c r="F778" i="7"/>
  <c r="H777" i="7"/>
  <c r="G777" i="7"/>
  <c r="F777" i="7"/>
  <c r="H776" i="7"/>
  <c r="G776" i="7"/>
  <c r="F776" i="7"/>
  <c r="H775" i="7"/>
  <c r="G775" i="7"/>
  <c r="F775" i="7"/>
  <c r="H774" i="7"/>
  <c r="G774" i="7"/>
  <c r="F774" i="7"/>
  <c r="H773" i="7"/>
  <c r="G773" i="7"/>
  <c r="F773" i="7"/>
  <c r="H772" i="7"/>
  <c r="G772" i="7"/>
  <c r="F772" i="7"/>
  <c r="H771" i="7"/>
  <c r="G771" i="7"/>
  <c r="F771" i="7"/>
  <c r="H770" i="7"/>
  <c r="G770" i="7"/>
  <c r="F770" i="7"/>
  <c r="H441" i="18"/>
  <c r="G441" i="18"/>
  <c r="F441" i="18"/>
  <c r="H440" i="18"/>
  <c r="G440" i="18"/>
  <c r="F440" i="18"/>
  <c r="H439" i="18"/>
  <c r="G439" i="18"/>
  <c r="F439" i="18"/>
  <c r="H438" i="18"/>
  <c r="G438" i="18"/>
  <c r="F438" i="18"/>
  <c r="H437" i="18"/>
  <c r="G437" i="18"/>
  <c r="F437" i="18"/>
  <c r="H436" i="18"/>
  <c r="G436" i="18"/>
  <c r="F436" i="18"/>
  <c r="H435" i="18"/>
  <c r="G435" i="18"/>
  <c r="F435" i="18"/>
  <c r="H434" i="18"/>
  <c r="G434" i="18"/>
  <c r="F434" i="18"/>
  <c r="H433" i="18"/>
  <c r="G433" i="18"/>
  <c r="F433" i="18"/>
  <c r="H432" i="18"/>
  <c r="G432" i="18"/>
  <c r="F432" i="18"/>
  <c r="H431" i="18"/>
  <c r="G431" i="18"/>
  <c r="F431" i="18"/>
  <c r="H430" i="18"/>
  <c r="G430" i="18"/>
  <c r="F430" i="18"/>
  <c r="H429" i="18"/>
  <c r="G429" i="18"/>
  <c r="F429" i="18"/>
  <c r="H360" i="7"/>
  <c r="G360" i="7"/>
  <c r="F360" i="7"/>
  <c r="H359" i="7"/>
  <c r="G359" i="7"/>
  <c r="F359" i="7"/>
  <c r="H358" i="7"/>
  <c r="G358" i="7"/>
  <c r="F358" i="7"/>
  <c r="H357" i="7"/>
  <c r="G357" i="7"/>
  <c r="F357" i="7"/>
  <c r="H356" i="7"/>
  <c r="G356" i="7"/>
  <c r="F356" i="7"/>
  <c r="H355" i="7"/>
  <c r="G355" i="7"/>
  <c r="F355" i="7"/>
  <c r="H354" i="7"/>
  <c r="G354" i="7"/>
  <c r="F354" i="7"/>
  <c r="H353" i="7"/>
  <c r="G353" i="7"/>
  <c r="F353" i="7"/>
  <c r="H352" i="7"/>
  <c r="G352" i="7"/>
  <c r="F352" i="7"/>
  <c r="H351" i="7"/>
  <c r="G351" i="7"/>
  <c r="F351" i="7"/>
  <c r="H350" i="7"/>
  <c r="G350" i="7"/>
  <c r="F350" i="7"/>
  <c r="H349" i="7"/>
  <c r="G349" i="7"/>
  <c r="F349" i="7"/>
  <c r="H348" i="7"/>
  <c r="G348" i="7"/>
  <c r="F348" i="7"/>
  <c r="H670" i="7" l="1"/>
  <c r="G670" i="7"/>
  <c r="F670" i="7"/>
  <c r="H662" i="7"/>
  <c r="G662" i="7"/>
  <c r="F662" i="7"/>
  <c r="H548" i="7"/>
  <c r="G548" i="7"/>
  <c r="F548" i="7"/>
  <c r="H532" i="7"/>
  <c r="H540" i="7" s="1"/>
  <c r="G532" i="7"/>
  <c r="G540" i="7" s="1"/>
  <c r="F532" i="7"/>
  <c r="F540" i="7" s="1"/>
  <c r="H749" i="18" l="1"/>
  <c r="F749" i="18"/>
  <c r="G38" i="7"/>
  <c r="C4" i="21"/>
  <c r="C5" i="21" s="1"/>
  <c r="B4" i="21"/>
  <c r="NC37" i="20"/>
  <c r="NB37" i="20"/>
  <c r="NA37" i="20"/>
  <c r="MZ37" i="20"/>
  <c r="MY37" i="20"/>
  <c r="MX37" i="20"/>
  <c r="MW37" i="20"/>
  <c r="MV37" i="20"/>
  <c r="MU37" i="20"/>
  <c r="MT37" i="20"/>
  <c r="MS37" i="20"/>
  <c r="MR37" i="20"/>
  <c r="MQ37" i="20"/>
  <c r="MP37" i="20"/>
  <c r="MO37" i="20"/>
  <c r="MN37" i="20"/>
  <c r="MM37" i="20"/>
  <c r="ML37" i="20"/>
  <c r="MK37" i="20"/>
  <c r="MJ37" i="20"/>
  <c r="MI37" i="20"/>
  <c r="MH37" i="20"/>
  <c r="MG37" i="20"/>
  <c r="MF37" i="20"/>
  <c r="ME37" i="20"/>
  <c r="MD37" i="20"/>
  <c r="MC37" i="20"/>
  <c r="MB37" i="20"/>
  <c r="MA37" i="20"/>
  <c r="LZ37" i="20"/>
  <c r="LY37" i="20"/>
  <c r="LX37" i="20"/>
  <c r="LW37" i="20"/>
  <c r="LV37" i="20"/>
  <c r="LU37" i="20"/>
  <c r="LT37" i="20"/>
  <c r="LS37" i="20"/>
  <c r="LR37" i="20"/>
  <c r="LQ37" i="20"/>
  <c r="LP37" i="20"/>
  <c r="LO37" i="20"/>
  <c r="LN37" i="20"/>
  <c r="LM37" i="20"/>
  <c r="LL37" i="20"/>
  <c r="LK37" i="20"/>
  <c r="LJ37" i="20"/>
  <c r="LI37" i="20"/>
  <c r="LH37" i="20"/>
  <c r="LG37" i="20"/>
  <c r="LF37" i="20"/>
  <c r="LE37" i="20"/>
  <c r="LD37" i="20"/>
  <c r="LC37" i="20"/>
  <c r="LB37" i="20"/>
  <c r="LA37" i="20"/>
  <c r="KZ37" i="20"/>
  <c r="KY37" i="20"/>
  <c r="KX37" i="20"/>
  <c r="KW37" i="20"/>
  <c r="KV37" i="20"/>
  <c r="KU37" i="20"/>
  <c r="KT37" i="20"/>
  <c r="KS37" i="20"/>
  <c r="KR37" i="20"/>
  <c r="KQ37" i="20"/>
  <c r="KP37" i="20"/>
  <c r="KO37" i="20"/>
  <c r="KN37" i="20"/>
  <c r="KM37" i="20"/>
  <c r="KL37" i="20"/>
  <c r="KK37" i="20"/>
  <c r="KJ37" i="20"/>
  <c r="KI37" i="20"/>
  <c r="KH37" i="20"/>
  <c r="KG37" i="20"/>
  <c r="KF37" i="20"/>
  <c r="KE37" i="20"/>
  <c r="KD37" i="20"/>
  <c r="KC37" i="20"/>
  <c r="KB37" i="20"/>
  <c r="KA37" i="20"/>
  <c r="JZ37" i="20"/>
  <c r="JY37" i="20"/>
  <c r="JX37" i="20"/>
  <c r="JW37" i="20"/>
  <c r="JV37" i="20"/>
  <c r="JU37" i="20"/>
  <c r="JT37" i="20"/>
  <c r="JS37" i="20"/>
  <c r="JR37" i="20"/>
  <c r="JQ37" i="20"/>
  <c r="JP37" i="20"/>
  <c r="JO37" i="20"/>
  <c r="JN37" i="20"/>
  <c r="JM37" i="20"/>
  <c r="JL37" i="20"/>
  <c r="JK37" i="20"/>
  <c r="JJ37" i="20"/>
  <c r="JI37" i="20"/>
  <c r="JH37" i="20"/>
  <c r="JG37" i="20"/>
  <c r="JF37" i="20"/>
  <c r="JE37" i="20"/>
  <c r="JD37" i="20"/>
  <c r="JC37" i="20"/>
  <c r="JB37" i="20"/>
  <c r="JA37" i="20"/>
  <c r="IZ37" i="20"/>
  <c r="IY37" i="20"/>
  <c r="IX37" i="20"/>
  <c r="IW37" i="20"/>
  <c r="IV37" i="20"/>
  <c r="IU37" i="20"/>
  <c r="IT37" i="20"/>
  <c r="IS37" i="20"/>
  <c r="IR37" i="20"/>
  <c r="IQ37" i="20"/>
  <c r="IP37" i="20"/>
  <c r="IO37" i="20"/>
  <c r="IN37" i="20"/>
  <c r="IM37" i="20"/>
  <c r="IL37" i="20"/>
  <c r="IK37" i="20"/>
  <c r="IJ37" i="20"/>
  <c r="II37" i="20"/>
  <c r="IH37" i="20"/>
  <c r="IG37" i="20"/>
  <c r="IF37" i="20"/>
  <c r="IE37" i="20"/>
  <c r="ID37" i="20"/>
  <c r="IC37" i="20"/>
  <c r="IB37" i="20"/>
  <c r="IA37" i="20"/>
  <c r="HZ37" i="20"/>
  <c r="HY37" i="20"/>
  <c r="HX37" i="20"/>
  <c r="HW37" i="20"/>
  <c r="HV37" i="20"/>
  <c r="HU37" i="20"/>
  <c r="HT37" i="20"/>
  <c r="HS37" i="20"/>
  <c r="HR37" i="20"/>
  <c r="HQ37" i="20"/>
  <c r="HP37" i="20"/>
  <c r="HO37" i="20"/>
  <c r="HN37" i="20"/>
  <c r="HM37" i="20"/>
  <c r="HL37" i="20"/>
  <c r="HK37" i="20"/>
  <c r="HJ37" i="20"/>
  <c r="HI37" i="20"/>
  <c r="HH37" i="20"/>
  <c r="HG37" i="20"/>
  <c r="HF37" i="20"/>
  <c r="HE37" i="20"/>
  <c r="HD37" i="20"/>
  <c r="HC37" i="20"/>
  <c r="HB37" i="20"/>
  <c r="HA37" i="20"/>
  <c r="GZ37" i="20"/>
  <c r="GY37" i="20"/>
  <c r="GX37" i="20"/>
  <c r="GW37" i="20"/>
  <c r="GV37" i="20"/>
  <c r="GU37" i="20"/>
  <c r="GT37" i="20"/>
  <c r="GS37" i="20"/>
  <c r="GR37" i="20"/>
  <c r="GQ37" i="20"/>
  <c r="GP37" i="20"/>
  <c r="GO37" i="20"/>
  <c r="GN37" i="20"/>
  <c r="GM37" i="20"/>
  <c r="GL37" i="20"/>
  <c r="GK37" i="20"/>
  <c r="GJ37" i="20"/>
  <c r="GI37" i="20"/>
  <c r="GH37" i="20"/>
  <c r="GG37" i="20"/>
  <c r="GF37" i="20"/>
  <c r="GE37" i="20"/>
  <c r="GD37" i="20"/>
  <c r="GC37" i="20"/>
  <c r="GB37" i="20"/>
  <c r="GA37" i="20"/>
  <c r="FZ37" i="20"/>
  <c r="FY37" i="20"/>
  <c r="FX37" i="20"/>
  <c r="FW37" i="20"/>
  <c r="FV37" i="20"/>
  <c r="FU37" i="20"/>
  <c r="FT37" i="20"/>
  <c r="FS37" i="20"/>
  <c r="FR37" i="20"/>
  <c r="FQ37" i="20"/>
  <c r="FP37" i="20"/>
  <c r="FO37" i="20"/>
  <c r="FN37" i="20"/>
  <c r="FM37" i="20"/>
  <c r="FL37" i="20"/>
  <c r="FK37" i="20"/>
  <c r="FJ37" i="20"/>
  <c r="FI37" i="20"/>
  <c r="FH37" i="20"/>
  <c r="FG37" i="20"/>
  <c r="FF37" i="20"/>
  <c r="FE37" i="20"/>
  <c r="FD37" i="20"/>
  <c r="FC37" i="20"/>
  <c r="FB37" i="20"/>
  <c r="FA37" i="20"/>
  <c r="EZ37" i="20"/>
  <c r="EY37" i="20"/>
  <c r="EX37" i="20"/>
  <c r="EW37" i="20"/>
  <c r="EV37" i="20"/>
  <c r="EU37" i="20"/>
  <c r="ET37" i="20"/>
  <c r="ES37" i="20"/>
  <c r="ER37" i="20"/>
  <c r="EQ37" i="20"/>
  <c r="EP37" i="20"/>
  <c r="EO37" i="20"/>
  <c r="EN37" i="20"/>
  <c r="EM37" i="20"/>
  <c r="EL37" i="20"/>
  <c r="EK37" i="20"/>
  <c r="EJ37" i="20"/>
  <c r="EI37" i="20"/>
  <c r="EH37" i="20"/>
  <c r="EG37" i="20"/>
  <c r="EF37" i="20"/>
  <c r="EE37" i="20"/>
  <c r="ED37" i="20"/>
  <c r="EC37" i="20"/>
  <c r="EB37" i="20"/>
  <c r="EA37" i="20"/>
  <c r="DZ37" i="20"/>
  <c r="DY37" i="20"/>
  <c r="DX37" i="20"/>
  <c r="DW37" i="20"/>
  <c r="DV37" i="20"/>
  <c r="DU37" i="20"/>
  <c r="DT37" i="20"/>
  <c r="DS37" i="20"/>
  <c r="DR37" i="20"/>
  <c r="DQ37" i="20"/>
  <c r="DP37" i="20"/>
  <c r="DO37" i="20"/>
  <c r="DN37" i="20"/>
  <c r="DM37" i="20"/>
  <c r="DL37" i="20"/>
  <c r="DK37" i="20"/>
  <c r="DJ37" i="20"/>
  <c r="DI37" i="20"/>
  <c r="DH37" i="20"/>
  <c r="DG37" i="20"/>
  <c r="DF37" i="20"/>
  <c r="DE37" i="20"/>
  <c r="DD37" i="20"/>
  <c r="DC37" i="20"/>
  <c r="DB37" i="20"/>
  <c r="DA37" i="20"/>
  <c r="CZ37" i="20"/>
  <c r="CY37" i="20"/>
  <c r="CX37" i="20"/>
  <c r="CW37" i="20"/>
  <c r="CV37" i="20"/>
  <c r="CU37" i="20"/>
  <c r="CT37" i="20"/>
  <c r="CS37" i="20"/>
  <c r="CR37" i="20"/>
  <c r="CQ37" i="20"/>
  <c r="CP37" i="20"/>
  <c r="CO37" i="20"/>
  <c r="CN37" i="20"/>
  <c r="CM37" i="20"/>
  <c r="CL37" i="20"/>
  <c r="CK37" i="20"/>
  <c r="CJ37" i="20"/>
  <c r="CI37" i="20"/>
  <c r="CH37" i="20"/>
  <c r="CG37" i="20"/>
  <c r="CF37" i="20"/>
  <c r="CE37" i="20"/>
  <c r="CD37" i="20"/>
  <c r="CC37" i="20"/>
  <c r="CB37" i="20"/>
  <c r="CA37" i="20"/>
  <c r="BZ37" i="20"/>
  <c r="BY37" i="20"/>
  <c r="BX37" i="20"/>
  <c r="BW37" i="20"/>
  <c r="BV37" i="20"/>
  <c r="BU37" i="20"/>
  <c r="BT37" i="20"/>
  <c r="BS37" i="20"/>
  <c r="BR37" i="20"/>
  <c r="BQ37" i="20"/>
  <c r="BP37" i="20"/>
  <c r="BO37" i="20"/>
  <c r="BN37" i="20"/>
  <c r="BM37" i="20"/>
  <c r="BL37" i="20"/>
  <c r="BK37" i="20"/>
  <c r="BJ37" i="20"/>
  <c r="BI37" i="20"/>
  <c r="BH37" i="20"/>
  <c r="BG37" i="20"/>
  <c r="BF37" i="20"/>
  <c r="BE37" i="20"/>
  <c r="BD37" i="20"/>
  <c r="BC37" i="20"/>
  <c r="BB37" i="20"/>
  <c r="BA37" i="20"/>
  <c r="AZ37" i="20"/>
  <c r="AY37" i="20"/>
  <c r="AX37" i="20"/>
  <c r="AW37" i="20"/>
  <c r="AV37" i="20"/>
  <c r="AU37" i="20"/>
  <c r="AT37" i="20"/>
  <c r="AS37" i="20"/>
  <c r="AR37" i="20"/>
  <c r="AQ37" i="20"/>
  <c r="AP37" i="20"/>
  <c r="AO37" i="20"/>
  <c r="AN37" i="20"/>
  <c r="AM37" i="20"/>
  <c r="AL37" i="20"/>
  <c r="AK37" i="20"/>
  <c r="AJ37" i="20"/>
  <c r="AI37" i="20"/>
  <c r="AH37" i="20"/>
  <c r="AG37" i="20"/>
  <c r="AF37" i="20"/>
  <c r="AE37" i="20"/>
  <c r="AD37" i="20"/>
  <c r="AC37" i="20"/>
  <c r="AB37" i="20"/>
  <c r="AA37" i="20"/>
  <c r="Z37" i="20"/>
  <c r="Y37" i="20"/>
  <c r="X37" i="20"/>
  <c r="W37" i="20"/>
  <c r="V37" i="20"/>
  <c r="U37" i="20"/>
  <c r="T37" i="20"/>
  <c r="S37" i="20"/>
  <c r="R37" i="20"/>
  <c r="Q37" i="20"/>
  <c r="P37" i="20"/>
  <c r="O37" i="20"/>
  <c r="N37" i="20"/>
  <c r="M37" i="20"/>
  <c r="NC36" i="20"/>
  <c r="NB36" i="20"/>
  <c r="NA36" i="20"/>
  <c r="MZ36" i="20"/>
  <c r="MY36" i="20"/>
  <c r="MX36" i="20"/>
  <c r="MW36" i="20"/>
  <c r="MV36" i="20"/>
  <c r="MU36" i="20"/>
  <c r="MT36" i="20"/>
  <c r="MS36" i="20"/>
  <c r="MR36" i="20"/>
  <c r="MQ36" i="20"/>
  <c r="MP36" i="20"/>
  <c r="MO36" i="20"/>
  <c r="MN36" i="20"/>
  <c r="MM36" i="20"/>
  <c r="ML36" i="20"/>
  <c r="MK36" i="20"/>
  <c r="MJ36" i="20"/>
  <c r="MI36" i="20"/>
  <c r="MH36" i="20"/>
  <c r="MG36" i="20"/>
  <c r="MF36" i="20"/>
  <c r="ME36" i="20"/>
  <c r="MD36" i="20"/>
  <c r="MC36" i="20"/>
  <c r="MB36" i="20"/>
  <c r="MA36" i="20"/>
  <c r="LZ36" i="20"/>
  <c r="LY36" i="20"/>
  <c r="LX36" i="20"/>
  <c r="LW36" i="20"/>
  <c r="LV36" i="20"/>
  <c r="LU36" i="20"/>
  <c r="LT36" i="20"/>
  <c r="LS36" i="20"/>
  <c r="LR36" i="20"/>
  <c r="LQ36" i="20"/>
  <c r="LP36" i="20"/>
  <c r="LO36" i="20"/>
  <c r="LN36" i="20"/>
  <c r="LM36" i="20"/>
  <c r="LL36" i="20"/>
  <c r="LK36" i="20"/>
  <c r="LJ36" i="20"/>
  <c r="LI36" i="20"/>
  <c r="LH36" i="20"/>
  <c r="LG36" i="20"/>
  <c r="LF36" i="20"/>
  <c r="LE36" i="20"/>
  <c r="LD36" i="20"/>
  <c r="LC36" i="20"/>
  <c r="LB36" i="20"/>
  <c r="LA36" i="20"/>
  <c r="KZ36" i="20"/>
  <c r="KY36" i="20"/>
  <c r="KX36" i="20"/>
  <c r="KW36" i="20"/>
  <c r="KV36" i="20"/>
  <c r="KU36" i="20"/>
  <c r="KT36" i="20"/>
  <c r="KS36" i="20"/>
  <c r="KR36" i="20"/>
  <c r="KQ36" i="20"/>
  <c r="KP36" i="20"/>
  <c r="KO36" i="20"/>
  <c r="KN36" i="20"/>
  <c r="KM36" i="20"/>
  <c r="KL36" i="20"/>
  <c r="KK36" i="20"/>
  <c r="KJ36" i="20"/>
  <c r="KI36" i="20"/>
  <c r="KH36" i="20"/>
  <c r="KG36" i="20"/>
  <c r="KF36" i="20"/>
  <c r="KE36" i="20"/>
  <c r="KD36" i="20"/>
  <c r="KC36" i="20"/>
  <c r="KB36" i="20"/>
  <c r="KA36" i="20"/>
  <c r="JZ36" i="20"/>
  <c r="JY36" i="20"/>
  <c r="JX36" i="20"/>
  <c r="JW36" i="20"/>
  <c r="JV36" i="20"/>
  <c r="JU36" i="20"/>
  <c r="JT36" i="20"/>
  <c r="JS36" i="20"/>
  <c r="JR36" i="20"/>
  <c r="JQ36" i="20"/>
  <c r="JP36" i="20"/>
  <c r="JO36" i="20"/>
  <c r="JN36" i="20"/>
  <c r="JM36" i="20"/>
  <c r="JL36" i="20"/>
  <c r="JK36" i="20"/>
  <c r="JJ36" i="20"/>
  <c r="JI36" i="20"/>
  <c r="JH36" i="20"/>
  <c r="JG36" i="20"/>
  <c r="JF36" i="20"/>
  <c r="JE36" i="20"/>
  <c r="JD36" i="20"/>
  <c r="JC36" i="20"/>
  <c r="JB36" i="20"/>
  <c r="JA36" i="20"/>
  <c r="IZ36" i="20"/>
  <c r="IY36" i="20"/>
  <c r="IX36" i="20"/>
  <c r="IW36" i="20"/>
  <c r="IV36" i="20"/>
  <c r="IU36" i="20"/>
  <c r="IT36" i="20"/>
  <c r="IS36" i="20"/>
  <c r="IR36" i="20"/>
  <c r="IQ36" i="20"/>
  <c r="IP36" i="20"/>
  <c r="IO36" i="20"/>
  <c r="IN36" i="20"/>
  <c r="IM36" i="20"/>
  <c r="IL36" i="20"/>
  <c r="IK36" i="20"/>
  <c r="IJ36" i="20"/>
  <c r="II36" i="20"/>
  <c r="IH36" i="20"/>
  <c r="IG36" i="20"/>
  <c r="IF36" i="20"/>
  <c r="IE36" i="20"/>
  <c r="ID36" i="20"/>
  <c r="IC36" i="20"/>
  <c r="IB36" i="20"/>
  <c r="IA36" i="20"/>
  <c r="HZ36" i="20"/>
  <c r="HY36" i="20"/>
  <c r="HX36" i="20"/>
  <c r="HW36" i="20"/>
  <c r="HV36" i="20"/>
  <c r="HU36" i="20"/>
  <c r="HT36" i="20"/>
  <c r="HS36" i="20"/>
  <c r="HR36" i="20"/>
  <c r="HQ36" i="20"/>
  <c r="HP36" i="20"/>
  <c r="HO36" i="20"/>
  <c r="HN36" i="20"/>
  <c r="HM36" i="20"/>
  <c r="HL36" i="20"/>
  <c r="HK36" i="20"/>
  <c r="HJ36" i="20"/>
  <c r="HI36" i="20"/>
  <c r="HH36" i="20"/>
  <c r="HG36" i="20"/>
  <c r="HF36" i="20"/>
  <c r="HE36" i="20"/>
  <c r="HD36" i="20"/>
  <c r="HC36" i="20"/>
  <c r="HB36" i="20"/>
  <c r="HA36" i="20"/>
  <c r="GZ36" i="20"/>
  <c r="GY36" i="20"/>
  <c r="GX36" i="20"/>
  <c r="GW36" i="20"/>
  <c r="GV36" i="20"/>
  <c r="GU36" i="20"/>
  <c r="GT36" i="20"/>
  <c r="GS36" i="20"/>
  <c r="GR36" i="20"/>
  <c r="GQ36" i="20"/>
  <c r="GP36" i="20"/>
  <c r="GO36" i="20"/>
  <c r="GN36" i="20"/>
  <c r="GM36" i="20"/>
  <c r="GL36" i="20"/>
  <c r="GK36" i="20"/>
  <c r="GJ36" i="20"/>
  <c r="GI36" i="20"/>
  <c r="GH36" i="20"/>
  <c r="GG36" i="20"/>
  <c r="GF36" i="20"/>
  <c r="GE36" i="20"/>
  <c r="GD36" i="20"/>
  <c r="GC36" i="20"/>
  <c r="GB36" i="20"/>
  <c r="GA36" i="20"/>
  <c r="FZ36" i="20"/>
  <c r="FY36" i="20"/>
  <c r="FX36" i="20"/>
  <c r="FW36" i="20"/>
  <c r="FV36" i="20"/>
  <c r="FU36" i="20"/>
  <c r="FT36" i="20"/>
  <c r="FS36" i="20"/>
  <c r="FR36" i="20"/>
  <c r="FQ36" i="20"/>
  <c r="FP36" i="20"/>
  <c r="FO36" i="20"/>
  <c r="FN36" i="20"/>
  <c r="FM36" i="20"/>
  <c r="FL36" i="20"/>
  <c r="FK36" i="20"/>
  <c r="FJ36" i="20"/>
  <c r="FI36" i="20"/>
  <c r="FH36" i="20"/>
  <c r="FG36" i="20"/>
  <c r="FF36" i="20"/>
  <c r="FE36" i="20"/>
  <c r="FD36" i="20"/>
  <c r="FC36" i="20"/>
  <c r="FB36" i="20"/>
  <c r="FA36" i="20"/>
  <c r="EZ36" i="20"/>
  <c r="EY36" i="20"/>
  <c r="EX36" i="20"/>
  <c r="EW36" i="20"/>
  <c r="EV36" i="20"/>
  <c r="EU36" i="20"/>
  <c r="ET36" i="20"/>
  <c r="ES36" i="20"/>
  <c r="ER36" i="20"/>
  <c r="EQ36" i="20"/>
  <c r="EP36" i="20"/>
  <c r="EO36" i="20"/>
  <c r="EN36" i="20"/>
  <c r="EM36" i="20"/>
  <c r="EL36" i="20"/>
  <c r="EK36" i="20"/>
  <c r="EJ36" i="20"/>
  <c r="EI36" i="20"/>
  <c r="EH36" i="20"/>
  <c r="EG36" i="20"/>
  <c r="EF36" i="20"/>
  <c r="EE36" i="20"/>
  <c r="ED36" i="20"/>
  <c r="EC36" i="20"/>
  <c r="EB36" i="20"/>
  <c r="EA36" i="20"/>
  <c r="DZ36" i="20"/>
  <c r="DY36" i="20"/>
  <c r="DX36" i="20"/>
  <c r="DW36" i="20"/>
  <c r="DV36" i="20"/>
  <c r="DU36" i="20"/>
  <c r="DT36" i="20"/>
  <c r="DS36" i="20"/>
  <c r="DR36" i="20"/>
  <c r="DQ36" i="20"/>
  <c r="DP36" i="20"/>
  <c r="DO36" i="20"/>
  <c r="DN36" i="20"/>
  <c r="DM36" i="20"/>
  <c r="DL36" i="20"/>
  <c r="DK36" i="20"/>
  <c r="DJ36" i="20"/>
  <c r="DI36" i="20"/>
  <c r="DH36" i="20"/>
  <c r="DG36" i="20"/>
  <c r="DF36" i="20"/>
  <c r="DE36" i="20"/>
  <c r="DD36" i="20"/>
  <c r="DC36" i="20"/>
  <c r="DB36" i="20"/>
  <c r="DA36" i="20"/>
  <c r="CZ36" i="20"/>
  <c r="CY36" i="20"/>
  <c r="CX36" i="20"/>
  <c r="CW36" i="20"/>
  <c r="CV36" i="20"/>
  <c r="CU36" i="20"/>
  <c r="CT36" i="20"/>
  <c r="CS36" i="20"/>
  <c r="CR36" i="20"/>
  <c r="CQ36" i="20"/>
  <c r="CP36" i="20"/>
  <c r="CO36" i="20"/>
  <c r="CN36" i="20"/>
  <c r="CM36" i="20"/>
  <c r="CL36" i="20"/>
  <c r="CK36" i="20"/>
  <c r="CJ36" i="20"/>
  <c r="CI36" i="20"/>
  <c r="CH36" i="20"/>
  <c r="CG36" i="20"/>
  <c r="CF36" i="20"/>
  <c r="CE36" i="20"/>
  <c r="CD36" i="20"/>
  <c r="CC36" i="20"/>
  <c r="CB36" i="20"/>
  <c r="CA36" i="20"/>
  <c r="BZ36" i="20"/>
  <c r="BY36" i="20"/>
  <c r="BX36" i="20"/>
  <c r="BW36" i="20"/>
  <c r="BV36" i="20"/>
  <c r="BU36" i="20"/>
  <c r="BT36" i="20"/>
  <c r="BS36" i="20"/>
  <c r="BR36" i="20"/>
  <c r="BQ36" i="20"/>
  <c r="BP36" i="20"/>
  <c r="BO36" i="20"/>
  <c r="BN36" i="20"/>
  <c r="BM36" i="20"/>
  <c r="BL36" i="20"/>
  <c r="BK36" i="20"/>
  <c r="BJ36" i="20"/>
  <c r="BI36" i="20"/>
  <c r="BH36" i="20"/>
  <c r="BG36" i="20"/>
  <c r="BF36"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V36" i="20"/>
  <c r="U36" i="20"/>
  <c r="T36" i="20"/>
  <c r="S36" i="20"/>
  <c r="R36" i="20"/>
  <c r="Q36" i="20"/>
  <c r="P36" i="20"/>
  <c r="O36" i="20"/>
  <c r="N36" i="20"/>
  <c r="M36" i="20"/>
  <c r="NC30" i="20"/>
  <c r="NC31" i="20" s="1"/>
  <c r="NB30" i="20"/>
  <c r="NB31" i="20" s="1"/>
  <c r="NA30" i="20"/>
  <c r="NA31" i="20" s="1"/>
  <c r="MZ30" i="20"/>
  <c r="MZ31" i="20" s="1"/>
  <c r="MY30" i="20"/>
  <c r="MY31" i="20" s="1"/>
  <c r="MX30" i="20"/>
  <c r="MX31" i="20" s="1"/>
  <c r="MW30" i="20"/>
  <c r="MW31" i="20" s="1"/>
  <c r="MV30" i="20"/>
  <c r="MV31" i="20" s="1"/>
  <c r="MU30" i="20"/>
  <c r="MU31" i="20" s="1"/>
  <c r="MT30" i="20"/>
  <c r="MT31" i="20" s="1"/>
  <c r="MS30" i="20"/>
  <c r="MS31" i="20" s="1"/>
  <c r="MR30" i="20"/>
  <c r="MR31" i="20" s="1"/>
  <c r="MQ30" i="20"/>
  <c r="MQ31" i="20" s="1"/>
  <c r="MP30" i="20"/>
  <c r="MP31" i="20" s="1"/>
  <c r="MO30" i="20"/>
  <c r="MO31" i="20" s="1"/>
  <c r="MN30" i="20"/>
  <c r="MN31" i="20" s="1"/>
  <c r="MM30" i="20"/>
  <c r="MM31" i="20" s="1"/>
  <c r="ML30" i="20"/>
  <c r="ML31" i="20" s="1"/>
  <c r="MK30" i="20"/>
  <c r="MK31" i="20" s="1"/>
  <c r="MJ30" i="20"/>
  <c r="MJ31" i="20" s="1"/>
  <c r="MI30" i="20"/>
  <c r="MI31" i="20" s="1"/>
  <c r="MH30" i="20"/>
  <c r="MH31" i="20" s="1"/>
  <c r="MG30" i="20"/>
  <c r="MG31" i="20" s="1"/>
  <c r="MF30" i="20"/>
  <c r="MF31" i="20" s="1"/>
  <c r="ME30" i="20"/>
  <c r="ME31" i="20" s="1"/>
  <c r="MD30" i="20"/>
  <c r="MD31" i="20" s="1"/>
  <c r="MC30" i="20"/>
  <c r="MC31" i="20" s="1"/>
  <c r="MB30" i="20"/>
  <c r="MB31" i="20" s="1"/>
  <c r="MA30" i="20"/>
  <c r="MA31" i="20" s="1"/>
  <c r="LZ30" i="20"/>
  <c r="LZ31" i="20" s="1"/>
  <c r="LY30" i="20"/>
  <c r="LY31" i="20" s="1"/>
  <c r="LX30" i="20"/>
  <c r="LX31" i="20" s="1"/>
  <c r="LW30" i="20"/>
  <c r="LW31" i="20" s="1"/>
  <c r="LV30" i="20"/>
  <c r="LV31" i="20" s="1"/>
  <c r="LU30" i="20"/>
  <c r="LU31" i="20" s="1"/>
  <c r="LT30" i="20"/>
  <c r="LT31" i="20" s="1"/>
  <c r="LS30" i="20"/>
  <c r="LS31" i="20" s="1"/>
  <c r="LR30" i="20"/>
  <c r="LR31" i="20" s="1"/>
  <c r="LQ30" i="20"/>
  <c r="LQ31" i="20" s="1"/>
  <c r="LP30" i="20"/>
  <c r="LP31" i="20" s="1"/>
  <c r="LO30" i="20"/>
  <c r="LO31" i="20" s="1"/>
  <c r="LN30" i="20"/>
  <c r="LN31" i="20" s="1"/>
  <c r="LM30" i="20"/>
  <c r="LM31" i="20" s="1"/>
  <c r="LL30" i="20"/>
  <c r="LL31" i="20" s="1"/>
  <c r="LK30" i="20"/>
  <c r="LK31" i="20" s="1"/>
  <c r="LJ30" i="20"/>
  <c r="LJ31" i="20" s="1"/>
  <c r="LI30" i="20"/>
  <c r="LI31" i="20" s="1"/>
  <c r="LH30" i="20"/>
  <c r="LH31" i="20" s="1"/>
  <c r="LG30" i="20"/>
  <c r="LG31" i="20" s="1"/>
  <c r="LF30" i="20"/>
  <c r="LF31" i="20" s="1"/>
  <c r="LE30" i="20"/>
  <c r="LE31" i="20" s="1"/>
  <c r="LD30" i="20"/>
  <c r="LD31" i="20" s="1"/>
  <c r="LC30" i="20"/>
  <c r="LC31" i="20" s="1"/>
  <c r="LB30" i="20"/>
  <c r="LB31" i="20" s="1"/>
  <c r="LA30" i="20"/>
  <c r="LA31" i="20" s="1"/>
  <c r="KZ30" i="20"/>
  <c r="KZ31" i="20" s="1"/>
  <c r="KY30" i="20"/>
  <c r="KY31" i="20" s="1"/>
  <c r="KX30" i="20"/>
  <c r="KX31" i="20" s="1"/>
  <c r="KW30" i="20"/>
  <c r="KW31" i="20" s="1"/>
  <c r="KV30" i="20"/>
  <c r="KV31" i="20" s="1"/>
  <c r="KU30" i="20"/>
  <c r="KU31" i="20" s="1"/>
  <c r="KT30" i="20"/>
  <c r="KT31" i="20" s="1"/>
  <c r="KS30" i="20"/>
  <c r="KS31" i="20" s="1"/>
  <c r="KR30" i="20"/>
  <c r="KR31" i="20" s="1"/>
  <c r="KQ30" i="20"/>
  <c r="KQ31" i="20" s="1"/>
  <c r="KP30" i="20"/>
  <c r="KP31" i="20" s="1"/>
  <c r="KO30" i="20"/>
  <c r="KO31" i="20" s="1"/>
  <c r="KN30" i="20"/>
  <c r="KN31" i="20" s="1"/>
  <c r="KM30" i="20"/>
  <c r="KM31" i="20" s="1"/>
  <c r="KL30" i="20"/>
  <c r="KL31" i="20" s="1"/>
  <c r="KK30" i="20"/>
  <c r="KK31" i="20" s="1"/>
  <c r="KJ30" i="20"/>
  <c r="KJ31" i="20" s="1"/>
  <c r="KI30" i="20"/>
  <c r="KI31" i="20" s="1"/>
  <c r="KH30" i="20"/>
  <c r="KH31" i="20" s="1"/>
  <c r="KG30" i="20"/>
  <c r="KG31" i="20" s="1"/>
  <c r="KF30" i="20"/>
  <c r="KF31" i="20" s="1"/>
  <c r="KE30" i="20"/>
  <c r="KE31" i="20" s="1"/>
  <c r="KD30" i="20"/>
  <c r="KD31" i="20" s="1"/>
  <c r="KC30" i="20"/>
  <c r="KC31" i="20" s="1"/>
  <c r="KB30" i="20"/>
  <c r="KB31" i="20" s="1"/>
  <c r="KA30" i="20"/>
  <c r="KA31" i="20" s="1"/>
  <c r="JZ30" i="20"/>
  <c r="JZ31" i="20" s="1"/>
  <c r="JY30" i="20"/>
  <c r="JY31" i="20" s="1"/>
  <c r="JX30" i="20"/>
  <c r="JX31" i="20" s="1"/>
  <c r="JW30" i="20"/>
  <c r="JW31" i="20" s="1"/>
  <c r="JV30" i="20"/>
  <c r="JV31" i="20" s="1"/>
  <c r="JU30" i="20"/>
  <c r="JU31" i="20" s="1"/>
  <c r="JT30" i="20"/>
  <c r="JT31" i="20" s="1"/>
  <c r="JS30" i="20"/>
  <c r="JS31" i="20" s="1"/>
  <c r="JR30" i="20"/>
  <c r="JR31" i="20" s="1"/>
  <c r="JQ30" i="20"/>
  <c r="JQ31" i="20" s="1"/>
  <c r="JP30" i="20"/>
  <c r="JP31" i="20" s="1"/>
  <c r="JO30" i="20"/>
  <c r="JO31" i="20" s="1"/>
  <c r="JN30" i="20"/>
  <c r="JN31" i="20" s="1"/>
  <c r="JM30" i="20"/>
  <c r="JM31" i="20" s="1"/>
  <c r="JL30" i="20"/>
  <c r="JL31" i="20" s="1"/>
  <c r="JK30" i="20"/>
  <c r="JK31" i="20" s="1"/>
  <c r="JJ30" i="20"/>
  <c r="JJ31" i="20" s="1"/>
  <c r="JI30" i="20"/>
  <c r="JI31" i="20" s="1"/>
  <c r="JH30" i="20"/>
  <c r="JH31" i="20" s="1"/>
  <c r="JG30" i="20"/>
  <c r="JG31" i="20" s="1"/>
  <c r="JF30" i="20"/>
  <c r="JF31" i="20" s="1"/>
  <c r="JE30" i="20"/>
  <c r="JE31" i="20" s="1"/>
  <c r="JD30" i="20"/>
  <c r="JD31" i="20" s="1"/>
  <c r="JC30" i="20"/>
  <c r="JC31" i="20" s="1"/>
  <c r="JB30" i="20"/>
  <c r="JB31" i="20" s="1"/>
  <c r="JA30" i="20"/>
  <c r="JA31" i="20" s="1"/>
  <c r="IZ30" i="20"/>
  <c r="IZ31" i="20" s="1"/>
  <c r="IY30" i="20"/>
  <c r="IY31" i="20" s="1"/>
  <c r="IX30" i="20"/>
  <c r="IX31" i="20" s="1"/>
  <c r="IW30" i="20"/>
  <c r="IW31" i="20" s="1"/>
  <c r="IV30" i="20"/>
  <c r="IV31" i="20" s="1"/>
  <c r="IU30" i="20"/>
  <c r="IU31" i="20" s="1"/>
  <c r="IT30" i="20"/>
  <c r="IT31" i="20" s="1"/>
  <c r="IS30" i="20"/>
  <c r="IS31" i="20" s="1"/>
  <c r="IR30" i="20"/>
  <c r="IR31" i="20" s="1"/>
  <c r="IQ30" i="20"/>
  <c r="IQ31" i="20" s="1"/>
  <c r="IP30" i="20"/>
  <c r="IP31" i="20" s="1"/>
  <c r="IO30" i="20"/>
  <c r="IO31" i="20" s="1"/>
  <c r="IN30" i="20"/>
  <c r="IN31" i="20" s="1"/>
  <c r="IM30" i="20"/>
  <c r="IM31" i="20" s="1"/>
  <c r="IL30" i="20"/>
  <c r="IL31" i="20" s="1"/>
  <c r="IK30" i="20"/>
  <c r="IK31" i="20" s="1"/>
  <c r="IJ30" i="20"/>
  <c r="IJ31" i="20" s="1"/>
  <c r="II30" i="20"/>
  <c r="II31" i="20" s="1"/>
  <c r="IH30" i="20"/>
  <c r="IH31" i="20" s="1"/>
  <c r="IG30" i="20"/>
  <c r="IG31" i="20" s="1"/>
  <c r="IF30" i="20"/>
  <c r="IF31" i="20" s="1"/>
  <c r="IE30" i="20"/>
  <c r="IE31" i="20" s="1"/>
  <c r="ID30" i="20"/>
  <c r="ID31" i="20" s="1"/>
  <c r="IC30" i="20"/>
  <c r="IC31" i="20" s="1"/>
  <c r="IB30" i="20"/>
  <c r="IB31" i="20" s="1"/>
  <c r="IA30" i="20"/>
  <c r="IA31" i="20" s="1"/>
  <c r="HZ30" i="20"/>
  <c r="HZ31" i="20" s="1"/>
  <c r="HY30" i="20"/>
  <c r="HY31" i="20" s="1"/>
  <c r="HX30" i="20"/>
  <c r="HX31" i="20" s="1"/>
  <c r="HW30" i="20"/>
  <c r="HW31" i="20" s="1"/>
  <c r="HV30" i="20"/>
  <c r="HV31" i="20" s="1"/>
  <c r="HU30" i="20"/>
  <c r="HU31" i="20" s="1"/>
  <c r="HT30" i="20"/>
  <c r="HT31" i="20" s="1"/>
  <c r="HS30" i="20"/>
  <c r="HS31" i="20" s="1"/>
  <c r="HR30" i="20"/>
  <c r="HR31" i="20" s="1"/>
  <c r="HQ30" i="20"/>
  <c r="HQ31" i="20" s="1"/>
  <c r="HP30" i="20"/>
  <c r="HP31" i="20" s="1"/>
  <c r="HO30" i="20"/>
  <c r="HO31" i="20" s="1"/>
  <c r="HN30" i="20"/>
  <c r="HN31" i="20" s="1"/>
  <c r="HM30" i="20"/>
  <c r="HM31" i="20" s="1"/>
  <c r="HL30" i="20"/>
  <c r="HL31" i="20" s="1"/>
  <c r="HK30" i="20"/>
  <c r="HK31" i="20" s="1"/>
  <c r="HJ30" i="20"/>
  <c r="HJ31" i="20" s="1"/>
  <c r="HI30" i="20"/>
  <c r="HI31" i="20" s="1"/>
  <c r="HH30" i="20"/>
  <c r="HH31" i="20" s="1"/>
  <c r="HG30" i="20"/>
  <c r="HG31" i="20" s="1"/>
  <c r="HF30" i="20"/>
  <c r="HF31" i="20" s="1"/>
  <c r="HE30" i="20"/>
  <c r="HE31" i="20" s="1"/>
  <c r="HD30" i="20"/>
  <c r="HD31" i="20" s="1"/>
  <c r="HC30" i="20"/>
  <c r="HC31" i="20" s="1"/>
  <c r="HB30" i="20"/>
  <c r="HB31" i="20" s="1"/>
  <c r="HA30" i="20"/>
  <c r="HA31" i="20" s="1"/>
  <c r="GZ30" i="20"/>
  <c r="GZ31" i="20" s="1"/>
  <c r="GY30" i="20"/>
  <c r="GY31" i="20" s="1"/>
  <c r="GX30" i="20"/>
  <c r="GX31" i="20" s="1"/>
  <c r="GW30" i="20"/>
  <c r="GW31" i="20" s="1"/>
  <c r="GV30" i="20"/>
  <c r="GV31" i="20" s="1"/>
  <c r="GU30" i="20"/>
  <c r="GU31" i="20" s="1"/>
  <c r="GT30" i="20"/>
  <c r="GT31" i="20" s="1"/>
  <c r="GS30" i="20"/>
  <c r="GS31" i="20" s="1"/>
  <c r="GR30" i="20"/>
  <c r="GR31" i="20" s="1"/>
  <c r="GQ30" i="20"/>
  <c r="GQ31" i="20" s="1"/>
  <c r="GP30" i="20"/>
  <c r="GP31" i="20" s="1"/>
  <c r="GO30" i="20"/>
  <c r="GO31" i="20" s="1"/>
  <c r="GN30" i="20"/>
  <c r="GN31" i="20" s="1"/>
  <c r="GM30" i="20"/>
  <c r="GM31" i="20" s="1"/>
  <c r="GL30" i="20"/>
  <c r="GL31" i="20" s="1"/>
  <c r="GK30" i="20"/>
  <c r="GK31" i="20" s="1"/>
  <c r="GJ30" i="20"/>
  <c r="GJ31" i="20" s="1"/>
  <c r="GI30" i="20"/>
  <c r="GI31" i="20" s="1"/>
  <c r="GH30" i="20"/>
  <c r="GH31" i="20" s="1"/>
  <c r="GG30" i="20"/>
  <c r="GG31" i="20" s="1"/>
  <c r="GF30" i="20"/>
  <c r="GF31" i="20" s="1"/>
  <c r="GE30" i="20"/>
  <c r="GE31" i="20" s="1"/>
  <c r="GD30" i="20"/>
  <c r="GD31" i="20" s="1"/>
  <c r="GC30" i="20"/>
  <c r="GC31" i="20" s="1"/>
  <c r="GB30" i="20"/>
  <c r="GB31" i="20" s="1"/>
  <c r="GA30" i="20"/>
  <c r="GA31" i="20" s="1"/>
  <c r="FZ30" i="20"/>
  <c r="FZ31" i="20" s="1"/>
  <c r="FY30" i="20"/>
  <c r="FY31" i="20" s="1"/>
  <c r="FX30" i="20"/>
  <c r="FX31" i="20" s="1"/>
  <c r="FW30" i="20"/>
  <c r="FW31" i="20" s="1"/>
  <c r="FV30" i="20"/>
  <c r="FV31" i="20" s="1"/>
  <c r="FU30" i="20"/>
  <c r="FU31" i="20" s="1"/>
  <c r="FT30" i="20"/>
  <c r="FT31" i="20" s="1"/>
  <c r="FS30" i="20"/>
  <c r="FS31" i="20" s="1"/>
  <c r="FR30" i="20"/>
  <c r="FR31" i="20" s="1"/>
  <c r="FQ30" i="20"/>
  <c r="FQ31" i="20" s="1"/>
  <c r="FP30" i="20"/>
  <c r="FP31" i="20" s="1"/>
  <c r="FO30" i="20"/>
  <c r="FO31" i="20" s="1"/>
  <c r="FN30" i="20"/>
  <c r="FN31" i="20" s="1"/>
  <c r="FM30" i="20"/>
  <c r="FM31" i="20" s="1"/>
  <c r="FL30" i="20"/>
  <c r="FL31" i="20" s="1"/>
  <c r="FK30" i="20"/>
  <c r="FK31" i="20" s="1"/>
  <c r="FJ30" i="20"/>
  <c r="FJ31" i="20" s="1"/>
  <c r="FI30" i="20"/>
  <c r="FI31" i="20" s="1"/>
  <c r="FH30" i="20"/>
  <c r="FH31" i="20" s="1"/>
  <c r="FG30" i="20"/>
  <c r="FG31" i="20" s="1"/>
  <c r="FF30" i="20"/>
  <c r="FF31" i="20" s="1"/>
  <c r="FE30" i="20"/>
  <c r="FE31" i="20" s="1"/>
  <c r="FD30" i="20"/>
  <c r="FD31" i="20" s="1"/>
  <c r="FC30" i="20"/>
  <c r="FC31" i="20" s="1"/>
  <c r="FB30" i="20"/>
  <c r="FB31" i="20" s="1"/>
  <c r="FA30" i="20"/>
  <c r="FA31" i="20" s="1"/>
  <c r="EZ30" i="20"/>
  <c r="EZ31" i="20" s="1"/>
  <c r="EY30" i="20"/>
  <c r="EY31" i="20" s="1"/>
  <c r="EX30" i="20"/>
  <c r="EX31" i="20" s="1"/>
  <c r="EW30" i="20"/>
  <c r="EW31" i="20" s="1"/>
  <c r="EV30" i="20"/>
  <c r="EV31" i="20" s="1"/>
  <c r="EU30" i="20"/>
  <c r="EU31" i="20" s="1"/>
  <c r="ET30" i="20"/>
  <c r="ET31" i="20" s="1"/>
  <c r="ES30" i="20"/>
  <c r="ES31" i="20" s="1"/>
  <c r="ER30" i="20"/>
  <c r="ER31" i="20" s="1"/>
  <c r="EQ30" i="20"/>
  <c r="EQ31" i="20" s="1"/>
  <c r="EP30" i="20"/>
  <c r="EP31" i="20" s="1"/>
  <c r="EO30" i="20"/>
  <c r="EO31" i="20" s="1"/>
  <c r="EN30" i="20"/>
  <c r="EN31" i="20" s="1"/>
  <c r="EM30" i="20"/>
  <c r="EM31" i="20" s="1"/>
  <c r="EL30" i="20"/>
  <c r="EL31" i="20" s="1"/>
  <c r="EK30" i="20"/>
  <c r="EK31" i="20" s="1"/>
  <c r="EJ30" i="20"/>
  <c r="EJ31" i="20" s="1"/>
  <c r="EI30" i="20"/>
  <c r="EI31" i="20" s="1"/>
  <c r="EH30" i="20"/>
  <c r="EH31" i="20" s="1"/>
  <c r="EG30" i="20"/>
  <c r="EG31" i="20" s="1"/>
  <c r="EF30" i="20"/>
  <c r="EF31" i="20" s="1"/>
  <c r="EE30" i="20"/>
  <c r="EE31" i="20" s="1"/>
  <c r="ED30" i="20"/>
  <c r="ED31" i="20" s="1"/>
  <c r="EC30" i="20"/>
  <c r="EC31" i="20" s="1"/>
  <c r="EB30" i="20"/>
  <c r="EB31" i="20" s="1"/>
  <c r="EA30" i="20"/>
  <c r="EA31" i="20" s="1"/>
  <c r="DZ30" i="20"/>
  <c r="DZ31" i="20" s="1"/>
  <c r="DY30" i="20"/>
  <c r="DY31" i="20" s="1"/>
  <c r="DX30" i="20"/>
  <c r="DX31" i="20" s="1"/>
  <c r="DW30" i="20"/>
  <c r="DW31" i="20" s="1"/>
  <c r="DV30" i="20"/>
  <c r="DV31" i="20" s="1"/>
  <c r="DU30" i="20"/>
  <c r="DU31" i="20" s="1"/>
  <c r="DT30" i="20"/>
  <c r="DT31" i="20" s="1"/>
  <c r="DS30" i="20"/>
  <c r="DS31" i="20" s="1"/>
  <c r="DR30" i="20"/>
  <c r="DR31" i="20" s="1"/>
  <c r="DQ30" i="20"/>
  <c r="DQ31" i="20" s="1"/>
  <c r="DP30" i="20"/>
  <c r="DP31" i="20" s="1"/>
  <c r="DO30" i="20"/>
  <c r="DO31" i="20" s="1"/>
  <c r="DN30" i="20"/>
  <c r="DN31" i="20" s="1"/>
  <c r="DM30" i="20"/>
  <c r="DM31" i="20" s="1"/>
  <c r="DL30" i="20"/>
  <c r="DL31" i="20" s="1"/>
  <c r="DK30" i="20"/>
  <c r="DK31" i="20" s="1"/>
  <c r="DJ30" i="20"/>
  <c r="DJ31" i="20" s="1"/>
  <c r="DI30" i="20"/>
  <c r="DI31" i="20" s="1"/>
  <c r="DH30" i="20"/>
  <c r="DH31" i="20" s="1"/>
  <c r="DG30" i="20"/>
  <c r="DG31" i="20" s="1"/>
  <c r="DF30" i="20"/>
  <c r="DF31" i="20" s="1"/>
  <c r="DE30" i="20"/>
  <c r="DE31" i="20" s="1"/>
  <c r="DD30" i="20"/>
  <c r="DD31" i="20" s="1"/>
  <c r="DC30" i="20"/>
  <c r="DC31" i="20" s="1"/>
  <c r="DB30" i="20"/>
  <c r="DB31" i="20" s="1"/>
  <c r="DA30" i="20"/>
  <c r="DA31" i="20" s="1"/>
  <c r="CZ30" i="20"/>
  <c r="CZ31" i="20" s="1"/>
  <c r="CY30" i="20"/>
  <c r="CY31" i="20" s="1"/>
  <c r="CX30" i="20"/>
  <c r="CX31" i="20" s="1"/>
  <c r="CW30" i="20"/>
  <c r="CW31" i="20" s="1"/>
  <c r="CV30" i="20"/>
  <c r="CV31" i="20" s="1"/>
  <c r="CU30" i="20"/>
  <c r="CU31" i="20" s="1"/>
  <c r="CT30" i="20"/>
  <c r="CT31" i="20" s="1"/>
  <c r="CS30" i="20"/>
  <c r="CS31" i="20" s="1"/>
  <c r="CR30" i="20"/>
  <c r="CR31" i="20" s="1"/>
  <c r="CQ30" i="20"/>
  <c r="CQ31" i="20" s="1"/>
  <c r="CP30" i="20"/>
  <c r="CP31" i="20" s="1"/>
  <c r="CO30" i="20"/>
  <c r="CO31" i="20" s="1"/>
  <c r="CN30" i="20"/>
  <c r="CN31" i="20" s="1"/>
  <c r="CM30" i="20"/>
  <c r="CM31" i="20" s="1"/>
  <c r="CL30" i="20"/>
  <c r="CL31" i="20" s="1"/>
  <c r="CK30" i="20"/>
  <c r="CK31" i="20" s="1"/>
  <c r="CJ30" i="20"/>
  <c r="CJ31" i="20" s="1"/>
  <c r="CI30" i="20"/>
  <c r="CI31" i="20" s="1"/>
  <c r="CH30" i="20"/>
  <c r="CH31" i="20" s="1"/>
  <c r="CG30" i="20"/>
  <c r="CG31" i="20" s="1"/>
  <c r="CF30" i="20"/>
  <c r="CF31" i="20" s="1"/>
  <c r="CE30" i="20"/>
  <c r="CE31" i="20" s="1"/>
  <c r="CD30" i="20"/>
  <c r="CD31" i="20" s="1"/>
  <c r="CC30" i="20"/>
  <c r="CC31" i="20" s="1"/>
  <c r="CB30" i="20"/>
  <c r="CB31" i="20" s="1"/>
  <c r="CA30" i="20"/>
  <c r="CA31" i="20" s="1"/>
  <c r="BZ30" i="20"/>
  <c r="BZ31" i="20" s="1"/>
  <c r="BY30" i="20"/>
  <c r="BY31" i="20" s="1"/>
  <c r="BX30" i="20"/>
  <c r="BX31" i="20" s="1"/>
  <c r="BW30" i="20"/>
  <c r="BW31" i="20" s="1"/>
  <c r="BV30" i="20"/>
  <c r="BV31" i="20" s="1"/>
  <c r="BU30" i="20"/>
  <c r="BU31" i="20" s="1"/>
  <c r="BT30" i="20"/>
  <c r="BT31" i="20" s="1"/>
  <c r="BS30" i="20"/>
  <c r="BS31" i="20" s="1"/>
  <c r="BR30" i="20"/>
  <c r="BR31" i="20" s="1"/>
  <c r="BQ30" i="20"/>
  <c r="BQ31" i="20" s="1"/>
  <c r="BP30" i="20"/>
  <c r="BP31" i="20" s="1"/>
  <c r="BO30" i="20"/>
  <c r="BO31" i="20" s="1"/>
  <c r="BN30" i="20"/>
  <c r="BN31" i="20" s="1"/>
  <c r="BM30" i="20"/>
  <c r="BM31" i="20" s="1"/>
  <c r="BL30" i="20"/>
  <c r="BL31" i="20" s="1"/>
  <c r="BK30" i="20"/>
  <c r="BK31" i="20" s="1"/>
  <c r="BJ30" i="20"/>
  <c r="BJ31" i="20" s="1"/>
  <c r="BI30" i="20"/>
  <c r="BI31" i="20" s="1"/>
  <c r="BH30" i="20"/>
  <c r="BH31" i="20" s="1"/>
  <c r="BG30" i="20"/>
  <c r="BG31" i="20" s="1"/>
  <c r="BF30" i="20"/>
  <c r="BF31" i="20" s="1"/>
  <c r="BE30" i="20"/>
  <c r="BE31" i="20" s="1"/>
  <c r="BD30" i="20"/>
  <c r="BD31" i="20" s="1"/>
  <c r="BC30" i="20"/>
  <c r="BC31" i="20" s="1"/>
  <c r="BB30" i="20"/>
  <c r="BB31" i="20" s="1"/>
  <c r="BA30" i="20"/>
  <c r="BA31" i="20" s="1"/>
  <c r="AZ30" i="20"/>
  <c r="AZ31" i="20" s="1"/>
  <c r="AY30" i="20"/>
  <c r="AY31" i="20" s="1"/>
  <c r="AX30" i="20"/>
  <c r="AX31" i="20" s="1"/>
  <c r="AW30" i="20"/>
  <c r="AW31" i="20" s="1"/>
  <c r="AV30" i="20"/>
  <c r="AV31" i="20" s="1"/>
  <c r="AU30" i="20"/>
  <c r="AU31" i="20" s="1"/>
  <c r="AT30" i="20"/>
  <c r="AT31" i="20" s="1"/>
  <c r="AS30" i="20"/>
  <c r="AS31" i="20" s="1"/>
  <c r="AR30" i="20"/>
  <c r="AR31" i="20" s="1"/>
  <c r="AQ30" i="20"/>
  <c r="AQ31" i="20" s="1"/>
  <c r="AP30" i="20"/>
  <c r="AP31" i="20" s="1"/>
  <c r="AO30" i="20"/>
  <c r="AO31" i="20" s="1"/>
  <c r="AN30" i="20"/>
  <c r="AN31" i="20" s="1"/>
  <c r="AM30" i="20"/>
  <c r="AM31" i="20" s="1"/>
  <c r="AL30" i="20"/>
  <c r="AL31" i="20" s="1"/>
  <c r="AK30" i="20"/>
  <c r="AK31" i="20" s="1"/>
  <c r="AJ30" i="20"/>
  <c r="AJ31" i="20" s="1"/>
  <c r="AI30" i="20"/>
  <c r="AI31" i="20" s="1"/>
  <c r="AH30" i="20"/>
  <c r="AH31" i="20" s="1"/>
  <c r="AG30" i="20"/>
  <c r="AG31" i="20" s="1"/>
  <c r="AF30" i="20"/>
  <c r="AF31" i="20" s="1"/>
  <c r="AE30" i="20"/>
  <c r="AE31" i="20" s="1"/>
  <c r="AD30" i="20"/>
  <c r="AD31" i="20" s="1"/>
  <c r="AC30" i="20"/>
  <c r="AC31" i="20" s="1"/>
  <c r="AB30" i="20"/>
  <c r="AB31" i="20" s="1"/>
  <c r="AA30" i="20"/>
  <c r="AA31" i="20" s="1"/>
  <c r="Z30" i="20"/>
  <c r="Z31" i="20" s="1"/>
  <c r="Y30" i="20"/>
  <c r="Y31" i="20" s="1"/>
  <c r="X30" i="20"/>
  <c r="X31" i="20" s="1"/>
  <c r="W30" i="20"/>
  <c r="W31" i="20" s="1"/>
  <c r="V30" i="20"/>
  <c r="V31" i="20" s="1"/>
  <c r="U30" i="20"/>
  <c r="U31" i="20" s="1"/>
  <c r="T30" i="20"/>
  <c r="T31" i="20" s="1"/>
  <c r="S30" i="20"/>
  <c r="S31" i="20" s="1"/>
  <c r="R30" i="20"/>
  <c r="R31" i="20" s="1"/>
  <c r="Q30" i="20"/>
  <c r="Q31" i="20" s="1"/>
  <c r="P30" i="20"/>
  <c r="P31" i="20" s="1"/>
  <c r="O30" i="20"/>
  <c r="O31" i="20" s="1"/>
  <c r="N30" i="20"/>
  <c r="N31" i="20" s="1"/>
  <c r="M30" i="20"/>
  <c r="M31" i="20" s="1"/>
  <c r="NC27" i="20"/>
  <c r="NB27" i="20"/>
  <c r="NA27" i="20"/>
  <c r="MZ27" i="20"/>
  <c r="MY27" i="20"/>
  <c r="MX27" i="20"/>
  <c r="MW27" i="20"/>
  <c r="MV27" i="20"/>
  <c r="MU27" i="20"/>
  <c r="MT27" i="20"/>
  <c r="MS27" i="20"/>
  <c r="MR27" i="20"/>
  <c r="MQ27" i="20"/>
  <c r="MP27" i="20"/>
  <c r="MO27" i="20"/>
  <c r="MN27" i="20"/>
  <c r="MM27" i="20"/>
  <c r="ML27" i="20"/>
  <c r="MK27" i="20"/>
  <c r="MJ27" i="20"/>
  <c r="MI27" i="20"/>
  <c r="MH27" i="20"/>
  <c r="MG27" i="20"/>
  <c r="MF27" i="20"/>
  <c r="ME27" i="20"/>
  <c r="MD27" i="20"/>
  <c r="MC27" i="20"/>
  <c r="MB27" i="20"/>
  <c r="MA27" i="20"/>
  <c r="LZ27" i="20"/>
  <c r="LY27" i="20"/>
  <c r="LX27" i="20"/>
  <c r="LW27" i="20"/>
  <c r="LV27" i="20"/>
  <c r="LU27" i="20"/>
  <c r="LT27" i="20"/>
  <c r="LS27" i="20"/>
  <c r="LR27" i="20"/>
  <c r="LQ27" i="20"/>
  <c r="LP27" i="20"/>
  <c r="LO27" i="20"/>
  <c r="LN27" i="20"/>
  <c r="LM27" i="20"/>
  <c r="LL27" i="20"/>
  <c r="LK27" i="20"/>
  <c r="LJ27" i="20"/>
  <c r="LI27" i="20"/>
  <c r="LH27" i="20"/>
  <c r="LG27" i="20"/>
  <c r="LF27" i="20"/>
  <c r="LE27" i="20"/>
  <c r="LD27" i="20"/>
  <c r="LC27" i="20"/>
  <c r="LB27" i="20"/>
  <c r="LA27" i="20"/>
  <c r="KZ27" i="20"/>
  <c r="KY27" i="20"/>
  <c r="KX27" i="20"/>
  <c r="KW27" i="20"/>
  <c r="KV27" i="20"/>
  <c r="KU27" i="20"/>
  <c r="KT27" i="20"/>
  <c r="KS27" i="20"/>
  <c r="KR27" i="20"/>
  <c r="KQ27" i="20"/>
  <c r="KP27" i="20"/>
  <c r="KO27" i="20"/>
  <c r="KN27" i="20"/>
  <c r="KM27" i="20"/>
  <c r="KL27" i="20"/>
  <c r="KK27" i="20"/>
  <c r="KJ27" i="20"/>
  <c r="KI27" i="20"/>
  <c r="KH27" i="20"/>
  <c r="KG27" i="20"/>
  <c r="KF27" i="20"/>
  <c r="KE27" i="20"/>
  <c r="KD27" i="20"/>
  <c r="KC27" i="20"/>
  <c r="KB27" i="20"/>
  <c r="KA27" i="20"/>
  <c r="JZ27" i="20"/>
  <c r="JY27" i="20"/>
  <c r="JX27" i="20"/>
  <c r="JW27" i="20"/>
  <c r="JV27" i="20"/>
  <c r="JU27" i="20"/>
  <c r="JT27" i="20"/>
  <c r="JS27" i="20"/>
  <c r="JR27" i="20"/>
  <c r="JQ27" i="20"/>
  <c r="JP27" i="20"/>
  <c r="JO27" i="20"/>
  <c r="JN27" i="20"/>
  <c r="JM27" i="20"/>
  <c r="JL27" i="20"/>
  <c r="JK27" i="20"/>
  <c r="JJ27" i="20"/>
  <c r="JI27" i="20"/>
  <c r="JH27" i="20"/>
  <c r="JG27" i="20"/>
  <c r="JF27" i="20"/>
  <c r="JE27" i="20"/>
  <c r="JD27" i="20"/>
  <c r="JC27" i="20"/>
  <c r="JB27" i="20"/>
  <c r="JA27" i="20"/>
  <c r="IZ27" i="20"/>
  <c r="IY27" i="20"/>
  <c r="IX27" i="20"/>
  <c r="IW27" i="20"/>
  <c r="IV27" i="20"/>
  <c r="IU27" i="20"/>
  <c r="IT27" i="20"/>
  <c r="IS27" i="20"/>
  <c r="IR27" i="20"/>
  <c r="IQ27" i="20"/>
  <c r="IP27" i="20"/>
  <c r="IO27" i="20"/>
  <c r="IN27" i="20"/>
  <c r="IM27" i="20"/>
  <c r="IL27" i="20"/>
  <c r="IK27" i="20"/>
  <c r="IJ27" i="20"/>
  <c r="II27" i="20"/>
  <c r="IH27" i="20"/>
  <c r="IG27" i="20"/>
  <c r="IF27" i="20"/>
  <c r="IE27" i="20"/>
  <c r="ID27" i="20"/>
  <c r="IC27" i="20"/>
  <c r="IB27" i="20"/>
  <c r="IA27" i="20"/>
  <c r="HZ27" i="20"/>
  <c r="HY27" i="20"/>
  <c r="HX27" i="20"/>
  <c r="HW27" i="20"/>
  <c r="HV27" i="20"/>
  <c r="HU27" i="20"/>
  <c r="HT27" i="20"/>
  <c r="HS27" i="20"/>
  <c r="HR27" i="20"/>
  <c r="HQ27" i="20"/>
  <c r="HP27" i="20"/>
  <c r="HO27" i="20"/>
  <c r="HN27" i="20"/>
  <c r="HM27" i="20"/>
  <c r="HL27" i="20"/>
  <c r="HK27" i="20"/>
  <c r="HJ27" i="20"/>
  <c r="HI27" i="20"/>
  <c r="HH27" i="20"/>
  <c r="HG27" i="20"/>
  <c r="HF27" i="20"/>
  <c r="HE27" i="20"/>
  <c r="HD27" i="20"/>
  <c r="HC27" i="20"/>
  <c r="HB27" i="20"/>
  <c r="HA27" i="20"/>
  <c r="GZ27" i="20"/>
  <c r="GY27" i="20"/>
  <c r="GX27" i="20"/>
  <c r="GW27" i="20"/>
  <c r="GV27" i="20"/>
  <c r="GU27" i="20"/>
  <c r="GT27" i="20"/>
  <c r="GS27" i="20"/>
  <c r="GR27" i="20"/>
  <c r="GQ27" i="20"/>
  <c r="GP27" i="20"/>
  <c r="GO27" i="20"/>
  <c r="GN27" i="20"/>
  <c r="GM27" i="20"/>
  <c r="GL27" i="20"/>
  <c r="GK27" i="20"/>
  <c r="GJ27" i="20"/>
  <c r="GI27" i="20"/>
  <c r="GH27" i="20"/>
  <c r="GG27" i="20"/>
  <c r="GF27" i="20"/>
  <c r="GE27" i="20"/>
  <c r="GD27" i="20"/>
  <c r="GC27" i="20"/>
  <c r="GB27" i="20"/>
  <c r="GA27" i="20"/>
  <c r="FZ27" i="20"/>
  <c r="FY27" i="20"/>
  <c r="FX27" i="20"/>
  <c r="FW27" i="20"/>
  <c r="FV27" i="20"/>
  <c r="FU27" i="20"/>
  <c r="FT27" i="20"/>
  <c r="FS27" i="20"/>
  <c r="FR27" i="20"/>
  <c r="FQ27" i="20"/>
  <c r="FP27" i="20"/>
  <c r="FO27" i="20"/>
  <c r="FN27" i="20"/>
  <c r="FM27" i="20"/>
  <c r="FL27" i="20"/>
  <c r="FK27" i="20"/>
  <c r="FJ27" i="20"/>
  <c r="FI27" i="20"/>
  <c r="FH27" i="20"/>
  <c r="FG27" i="20"/>
  <c r="FF27" i="20"/>
  <c r="FE27" i="20"/>
  <c r="FD27" i="20"/>
  <c r="FC27" i="20"/>
  <c r="FB27" i="20"/>
  <c r="FA27" i="20"/>
  <c r="EZ27" i="20"/>
  <c r="EY27" i="20"/>
  <c r="EX27" i="20"/>
  <c r="EW27" i="20"/>
  <c r="EV27" i="20"/>
  <c r="EU27" i="20"/>
  <c r="ET27" i="20"/>
  <c r="ES27" i="20"/>
  <c r="ER27" i="20"/>
  <c r="EQ27" i="20"/>
  <c r="EP27" i="20"/>
  <c r="EO27" i="20"/>
  <c r="EN27" i="20"/>
  <c r="EM27" i="20"/>
  <c r="EL27" i="20"/>
  <c r="EK27" i="20"/>
  <c r="EJ27" i="20"/>
  <c r="EI27" i="20"/>
  <c r="EH27" i="20"/>
  <c r="EG27" i="20"/>
  <c r="EF27" i="20"/>
  <c r="EE27" i="20"/>
  <c r="ED27" i="20"/>
  <c r="EC27" i="20"/>
  <c r="EB27" i="20"/>
  <c r="EA27" i="20"/>
  <c r="DZ27" i="20"/>
  <c r="DY27" i="20"/>
  <c r="DX27" i="20"/>
  <c r="DW27" i="20"/>
  <c r="DV27" i="20"/>
  <c r="DU27" i="20"/>
  <c r="DT27" i="20"/>
  <c r="DS27" i="20"/>
  <c r="DR27" i="20"/>
  <c r="DQ27" i="20"/>
  <c r="DP27" i="20"/>
  <c r="DO27" i="20"/>
  <c r="DN27" i="20"/>
  <c r="DM27" i="20"/>
  <c r="DL27" i="20"/>
  <c r="DK27" i="20"/>
  <c r="DJ27" i="20"/>
  <c r="DI27" i="20"/>
  <c r="DH27" i="20"/>
  <c r="DG27" i="20"/>
  <c r="DF27" i="20"/>
  <c r="DE27" i="20"/>
  <c r="DD27" i="20"/>
  <c r="DC27" i="20"/>
  <c r="DB27" i="20"/>
  <c r="DA27" i="20"/>
  <c r="CZ27" i="20"/>
  <c r="CY27" i="20"/>
  <c r="CX27" i="20"/>
  <c r="CW27" i="20"/>
  <c r="CV27" i="20"/>
  <c r="CU27" i="20"/>
  <c r="CT27" i="20"/>
  <c r="CS27" i="20"/>
  <c r="CR27" i="20"/>
  <c r="CQ27" i="20"/>
  <c r="CP27" i="20"/>
  <c r="CO27" i="20"/>
  <c r="CN27" i="20"/>
  <c r="CM27" i="20"/>
  <c r="CL27" i="20"/>
  <c r="CK27" i="20"/>
  <c r="CJ27" i="20"/>
  <c r="CI27" i="20"/>
  <c r="CH27" i="20"/>
  <c r="CG27" i="20"/>
  <c r="CF27" i="20"/>
  <c r="CE27" i="20"/>
  <c r="CD27" i="20"/>
  <c r="CC27" i="20"/>
  <c r="CB27" i="20"/>
  <c r="CA27" i="20"/>
  <c r="BZ27" i="20"/>
  <c r="BY27" i="20"/>
  <c r="BX27" i="20"/>
  <c r="BW27" i="20"/>
  <c r="BV27" i="20"/>
  <c r="BU27" i="20"/>
  <c r="BT27" i="20"/>
  <c r="BS27" i="20"/>
  <c r="BR27" i="20"/>
  <c r="BQ27" i="20"/>
  <c r="BP27" i="20"/>
  <c r="BO27" i="20"/>
  <c r="BN27" i="20"/>
  <c r="BM27" i="20"/>
  <c r="BL27" i="20"/>
  <c r="BK27" i="20"/>
  <c r="BJ27" i="20"/>
  <c r="BI27" i="20"/>
  <c r="BH27" i="20"/>
  <c r="BG27" i="20"/>
  <c r="BF27" i="20"/>
  <c r="BE27" i="20"/>
  <c r="BD27" i="20"/>
  <c r="BC27" i="20"/>
  <c r="BB27" i="20"/>
  <c r="BA27" i="20"/>
  <c r="AZ27" i="20"/>
  <c r="AY27" i="20"/>
  <c r="AX27" i="20"/>
  <c r="AW27" i="20"/>
  <c r="AV27"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V27" i="20"/>
  <c r="U27" i="20"/>
  <c r="T27" i="20"/>
  <c r="S27" i="20"/>
  <c r="R27" i="20"/>
  <c r="Q27" i="20"/>
  <c r="P27" i="20"/>
  <c r="O27" i="20"/>
  <c r="N27" i="20"/>
  <c r="M27" i="20"/>
  <c r="M26" i="20"/>
  <c r="NC25" i="20"/>
  <c r="NB25" i="20"/>
  <c r="NA25" i="20"/>
  <c r="MZ25" i="20"/>
  <c r="MY25" i="20"/>
  <c r="MX25" i="20"/>
  <c r="MW25" i="20"/>
  <c r="MV25" i="20"/>
  <c r="MU25" i="20"/>
  <c r="MT25" i="20"/>
  <c r="MS25" i="20"/>
  <c r="MR25" i="20"/>
  <c r="MQ25" i="20"/>
  <c r="MP25" i="20"/>
  <c r="MO25" i="20"/>
  <c r="MN25" i="20"/>
  <c r="MM25" i="20"/>
  <c r="ML25" i="20"/>
  <c r="MK25" i="20"/>
  <c r="MJ25" i="20"/>
  <c r="MI25" i="20"/>
  <c r="MH25" i="20"/>
  <c r="MG25" i="20"/>
  <c r="MF25" i="20"/>
  <c r="ME25" i="20"/>
  <c r="MD25" i="20"/>
  <c r="MC25" i="20"/>
  <c r="MB25" i="20"/>
  <c r="MA25" i="20"/>
  <c r="LZ25" i="20"/>
  <c r="LY25" i="20"/>
  <c r="LX25" i="20"/>
  <c r="LW25" i="20"/>
  <c r="LV25" i="20"/>
  <c r="LU25" i="20"/>
  <c r="LT25" i="20"/>
  <c r="LS25" i="20"/>
  <c r="LR25" i="20"/>
  <c r="LQ25" i="20"/>
  <c r="LP25" i="20"/>
  <c r="LO25" i="20"/>
  <c r="LN25" i="20"/>
  <c r="LM25" i="20"/>
  <c r="LL25" i="20"/>
  <c r="LK25" i="20"/>
  <c r="LJ25" i="20"/>
  <c r="LI25" i="20"/>
  <c r="LH25" i="20"/>
  <c r="LG25" i="20"/>
  <c r="LF25" i="20"/>
  <c r="LE25" i="20"/>
  <c r="LD25" i="20"/>
  <c r="LC25" i="20"/>
  <c r="LB25" i="20"/>
  <c r="LA25" i="20"/>
  <c r="KZ25" i="20"/>
  <c r="KY25" i="20"/>
  <c r="KX25" i="20"/>
  <c r="KW25" i="20"/>
  <c r="KV25" i="20"/>
  <c r="KU25" i="20"/>
  <c r="KT25" i="20"/>
  <c r="KS25" i="20"/>
  <c r="KR25" i="20"/>
  <c r="KQ25" i="20"/>
  <c r="KP25" i="20"/>
  <c r="KO25" i="20"/>
  <c r="KN25" i="20"/>
  <c r="KM25" i="20"/>
  <c r="KL25" i="20"/>
  <c r="KK25" i="20"/>
  <c r="KJ25" i="20"/>
  <c r="KI25" i="20"/>
  <c r="KH25" i="20"/>
  <c r="KG25" i="20"/>
  <c r="KF25" i="20"/>
  <c r="KE25" i="20"/>
  <c r="KD25" i="20"/>
  <c r="KC25" i="20"/>
  <c r="KB25" i="20"/>
  <c r="KA25" i="20"/>
  <c r="JZ25" i="20"/>
  <c r="JY25" i="20"/>
  <c r="JX25" i="20"/>
  <c r="JW25" i="20"/>
  <c r="JV25" i="20"/>
  <c r="JU25" i="20"/>
  <c r="JT25" i="20"/>
  <c r="JS25" i="20"/>
  <c r="JR25" i="20"/>
  <c r="JQ25" i="20"/>
  <c r="JP25" i="20"/>
  <c r="JO25" i="20"/>
  <c r="JN25" i="20"/>
  <c r="JM25" i="20"/>
  <c r="JL25" i="20"/>
  <c r="JJ25" i="20"/>
  <c r="JI25" i="20"/>
  <c r="JH25" i="20"/>
  <c r="JG25" i="20"/>
  <c r="JF25" i="20"/>
  <c r="JE25" i="20"/>
  <c r="JD25" i="20"/>
  <c r="JC25" i="20"/>
  <c r="JB25" i="20"/>
  <c r="JA25" i="20"/>
  <c r="IZ25" i="20"/>
  <c r="IY25" i="20"/>
  <c r="IX25" i="20"/>
  <c r="IW25" i="20"/>
  <c r="IV25" i="20"/>
  <c r="IU25" i="20"/>
  <c r="IT25" i="20"/>
  <c r="IS25" i="20"/>
  <c r="IR25" i="20"/>
  <c r="IQ25" i="20"/>
  <c r="IP25" i="20"/>
  <c r="IO25" i="20"/>
  <c r="IN25" i="20"/>
  <c r="IM25" i="20"/>
  <c r="IL25" i="20"/>
  <c r="IK25" i="20"/>
  <c r="IJ25" i="20"/>
  <c r="II25" i="20"/>
  <c r="IH25" i="20"/>
  <c r="IG25" i="20"/>
  <c r="IF25" i="20"/>
  <c r="IE25" i="20"/>
  <c r="ID25" i="20"/>
  <c r="IC25" i="20"/>
  <c r="IB25" i="20"/>
  <c r="IA25" i="20"/>
  <c r="HZ25" i="20"/>
  <c r="HY25" i="20"/>
  <c r="HX25" i="20"/>
  <c r="HW25" i="20"/>
  <c r="HV25" i="20"/>
  <c r="HU25" i="20"/>
  <c r="HT25" i="20"/>
  <c r="HS25" i="20"/>
  <c r="HR25" i="20"/>
  <c r="HQ25" i="20"/>
  <c r="HP25" i="20"/>
  <c r="HO25" i="20"/>
  <c r="HN25" i="20"/>
  <c r="HM25" i="20"/>
  <c r="HL25" i="20"/>
  <c r="HK25" i="20"/>
  <c r="HJ25" i="20"/>
  <c r="HI25" i="20"/>
  <c r="HH25" i="20"/>
  <c r="HG25" i="20"/>
  <c r="HF25" i="20"/>
  <c r="HE25" i="20"/>
  <c r="HD25" i="20"/>
  <c r="HC25" i="20"/>
  <c r="HB25" i="20"/>
  <c r="HA25" i="20"/>
  <c r="GZ25" i="20"/>
  <c r="GY25" i="20"/>
  <c r="GX25" i="20"/>
  <c r="GW25" i="20"/>
  <c r="GV25" i="20"/>
  <c r="GU25" i="20"/>
  <c r="GT25" i="20"/>
  <c r="GS25" i="20"/>
  <c r="GR25" i="20"/>
  <c r="GQ25" i="20"/>
  <c r="GP25" i="20"/>
  <c r="GO25" i="20"/>
  <c r="GN25" i="20"/>
  <c r="GM25" i="20"/>
  <c r="GL25" i="20"/>
  <c r="GK25" i="20"/>
  <c r="GJ25" i="20"/>
  <c r="GI25" i="20"/>
  <c r="GH25" i="20"/>
  <c r="GG25" i="20"/>
  <c r="GF25" i="20"/>
  <c r="GE25" i="20"/>
  <c r="GD25" i="20"/>
  <c r="GC25" i="20"/>
  <c r="GB25" i="20"/>
  <c r="GA25" i="20"/>
  <c r="FZ25" i="20"/>
  <c r="FY25" i="20"/>
  <c r="FX25" i="20"/>
  <c r="FW25" i="20"/>
  <c r="FV25" i="20"/>
  <c r="FU25" i="20"/>
  <c r="FT25" i="20"/>
  <c r="FS25" i="20"/>
  <c r="FR25" i="20"/>
  <c r="FQ25" i="20"/>
  <c r="FP25" i="20"/>
  <c r="FO25" i="20"/>
  <c r="FN25" i="20"/>
  <c r="FM25" i="20"/>
  <c r="FL25" i="20"/>
  <c r="FK25" i="20"/>
  <c r="FJ25" i="20"/>
  <c r="FI25" i="20"/>
  <c r="FH25" i="20"/>
  <c r="FG25" i="20"/>
  <c r="FF25" i="20"/>
  <c r="FE25" i="20"/>
  <c r="FD25" i="20"/>
  <c r="FC25" i="20"/>
  <c r="FB25" i="20"/>
  <c r="FA25" i="20"/>
  <c r="EZ25" i="20"/>
  <c r="EY25" i="20"/>
  <c r="EX25" i="20"/>
  <c r="EW25" i="20"/>
  <c r="EV25" i="20"/>
  <c r="EU25" i="20"/>
  <c r="ET25" i="20"/>
  <c r="ES25" i="20"/>
  <c r="ER25" i="20"/>
  <c r="EQ25" i="20"/>
  <c r="EP25" i="20"/>
  <c r="EO25" i="20"/>
  <c r="EN25" i="20"/>
  <c r="EM25" i="20"/>
  <c r="EL25" i="20"/>
  <c r="EK25" i="20"/>
  <c r="EJ25" i="20"/>
  <c r="EI25" i="20"/>
  <c r="EH25" i="20"/>
  <c r="EG25" i="20"/>
  <c r="EF25" i="20"/>
  <c r="EE25" i="20"/>
  <c r="ED25" i="20"/>
  <c r="EC25" i="20"/>
  <c r="EB25" i="20"/>
  <c r="EA25" i="20"/>
  <c r="DZ25" i="20"/>
  <c r="DY25" i="20"/>
  <c r="DX25" i="20"/>
  <c r="DW25" i="20"/>
  <c r="DV25" i="20"/>
  <c r="DU25" i="20"/>
  <c r="DT25" i="20"/>
  <c r="DS25" i="20"/>
  <c r="DR25" i="20"/>
  <c r="DQ25" i="20"/>
  <c r="DP25" i="20"/>
  <c r="DO25" i="20"/>
  <c r="DN25" i="20"/>
  <c r="DM25" i="20"/>
  <c r="DL25" i="20"/>
  <c r="DK25" i="20"/>
  <c r="DJ25" i="20"/>
  <c r="DI25" i="20"/>
  <c r="DH25" i="20"/>
  <c r="DG25" i="20"/>
  <c r="DF25" i="20"/>
  <c r="DE25" i="20"/>
  <c r="DD25" i="20"/>
  <c r="DC25" i="20"/>
  <c r="DB25" i="20"/>
  <c r="DA25" i="20"/>
  <c r="CZ25" i="20"/>
  <c r="CY25" i="20"/>
  <c r="CX25" i="20"/>
  <c r="CW25" i="20"/>
  <c r="CV25" i="20"/>
  <c r="CU25" i="20"/>
  <c r="CT25" i="20"/>
  <c r="CS25" i="20"/>
  <c r="CR25" i="20"/>
  <c r="CQ25" i="20"/>
  <c r="CP25" i="20"/>
  <c r="CO25" i="20"/>
  <c r="CN25" i="20"/>
  <c r="CM25" i="20"/>
  <c r="CL25" i="20"/>
  <c r="CK25" i="20"/>
  <c r="CJ25" i="20"/>
  <c r="CI25" i="20"/>
  <c r="CH25" i="20"/>
  <c r="CG25" i="20"/>
  <c r="CF25" i="20"/>
  <c r="CE25" i="20"/>
  <c r="CD25" i="20"/>
  <c r="CC25" i="20"/>
  <c r="CB25" i="20"/>
  <c r="CA25" i="20"/>
  <c r="BZ25" i="20"/>
  <c r="BY25" i="20"/>
  <c r="BX25" i="20"/>
  <c r="BW25" i="20"/>
  <c r="BV25" i="20"/>
  <c r="BU25" i="20"/>
  <c r="BT25" i="20"/>
  <c r="BS25" i="20"/>
  <c r="BR25" i="20"/>
  <c r="BQ25" i="20"/>
  <c r="BP25" i="20"/>
  <c r="BO25" i="20"/>
  <c r="BN25" i="20"/>
  <c r="BM25" i="20"/>
  <c r="BL25" i="20"/>
  <c r="BK25" i="20"/>
  <c r="BJ25" i="20"/>
  <c r="BI25" i="20"/>
  <c r="BH25" i="20"/>
  <c r="BG25" i="20"/>
  <c r="BF25" i="20"/>
  <c r="BE25" i="20"/>
  <c r="BD25" i="20"/>
  <c r="BC25" i="20"/>
  <c r="BB25" i="20"/>
  <c r="BA25" i="20"/>
  <c r="AZ25" i="20"/>
  <c r="AY25" i="20"/>
  <c r="AX25" i="20"/>
  <c r="AW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V25" i="20"/>
  <c r="U25" i="20"/>
  <c r="T25" i="20"/>
  <c r="S25" i="20"/>
  <c r="R25" i="20"/>
  <c r="Q25" i="20"/>
  <c r="P25" i="20"/>
  <c r="O25" i="20"/>
  <c r="N25" i="20"/>
  <c r="M25" i="20"/>
  <c r="NC24" i="20"/>
  <c r="NB24" i="20"/>
  <c r="NA24" i="20"/>
  <c r="MZ24" i="20"/>
  <c r="MY24" i="20"/>
  <c r="MX24" i="20"/>
  <c r="MW24" i="20"/>
  <c r="MV24" i="20"/>
  <c r="MU24" i="20"/>
  <c r="MT24" i="20"/>
  <c r="MS24" i="20"/>
  <c r="MR24" i="20"/>
  <c r="MQ24" i="20"/>
  <c r="MP24" i="20"/>
  <c r="MO24" i="20"/>
  <c r="MN24" i="20"/>
  <c r="MM24" i="20"/>
  <c r="ML24" i="20"/>
  <c r="MK24" i="20"/>
  <c r="MJ24" i="20"/>
  <c r="MI24" i="20"/>
  <c r="MH24" i="20"/>
  <c r="MG24" i="20"/>
  <c r="MF24" i="20"/>
  <c r="ME24" i="20"/>
  <c r="MD24" i="20"/>
  <c r="MC24" i="20"/>
  <c r="MB24" i="20"/>
  <c r="MA24" i="20"/>
  <c r="LZ24" i="20"/>
  <c r="LY24" i="20"/>
  <c r="LX24" i="20"/>
  <c r="LW24" i="20"/>
  <c r="LV24" i="20"/>
  <c r="LU24" i="20"/>
  <c r="LT24" i="20"/>
  <c r="LS24" i="20"/>
  <c r="LR24" i="20"/>
  <c r="LQ24" i="20"/>
  <c r="LP24" i="20"/>
  <c r="LO24" i="20"/>
  <c r="LN24" i="20"/>
  <c r="LM24" i="20"/>
  <c r="LL24" i="20"/>
  <c r="LK24" i="20"/>
  <c r="LJ24" i="20"/>
  <c r="LI24" i="20"/>
  <c r="LH24" i="20"/>
  <c r="LG24" i="20"/>
  <c r="LF24" i="20"/>
  <c r="LE24" i="20"/>
  <c r="LD24" i="20"/>
  <c r="LC24" i="20"/>
  <c r="LB24" i="20"/>
  <c r="LA24" i="20"/>
  <c r="KZ24" i="20"/>
  <c r="KY24" i="20"/>
  <c r="KX24" i="20"/>
  <c r="KW24" i="20"/>
  <c r="KV24" i="20"/>
  <c r="KU24" i="20"/>
  <c r="KT24" i="20"/>
  <c r="KS24" i="20"/>
  <c r="KR24" i="20"/>
  <c r="KQ24" i="20"/>
  <c r="KP24" i="20"/>
  <c r="KO24" i="20"/>
  <c r="KN24" i="20"/>
  <c r="KM24" i="20"/>
  <c r="KL24" i="20"/>
  <c r="KK24" i="20"/>
  <c r="KJ24" i="20"/>
  <c r="KI24" i="20"/>
  <c r="KH24" i="20"/>
  <c r="KG24" i="20"/>
  <c r="KF24" i="20"/>
  <c r="KE24" i="20"/>
  <c r="KD24" i="20"/>
  <c r="KC24" i="20"/>
  <c r="KB24" i="20"/>
  <c r="KA24" i="20"/>
  <c r="JZ24" i="20"/>
  <c r="JY24" i="20"/>
  <c r="JX24" i="20"/>
  <c r="JW24" i="20"/>
  <c r="JV24" i="20"/>
  <c r="JU24" i="20"/>
  <c r="JT24" i="20"/>
  <c r="JS24" i="20"/>
  <c r="JR24" i="20"/>
  <c r="JQ24" i="20"/>
  <c r="JP24" i="20"/>
  <c r="JO24" i="20"/>
  <c r="JN24" i="20"/>
  <c r="JM24" i="20"/>
  <c r="JL24" i="20"/>
  <c r="JJ24" i="20"/>
  <c r="JI24" i="20"/>
  <c r="JH24" i="20"/>
  <c r="JG24" i="20"/>
  <c r="JF24" i="20"/>
  <c r="JE24" i="20"/>
  <c r="JD24" i="20"/>
  <c r="JC24" i="20"/>
  <c r="JB24" i="20"/>
  <c r="JA24" i="20"/>
  <c r="IZ24" i="20"/>
  <c r="IY24" i="20"/>
  <c r="IX24" i="20"/>
  <c r="IW24" i="20"/>
  <c r="IV24" i="20"/>
  <c r="IU24" i="20"/>
  <c r="IT24" i="20"/>
  <c r="IS24" i="20"/>
  <c r="IR24" i="20"/>
  <c r="IQ24" i="20"/>
  <c r="IP24" i="20"/>
  <c r="IO24" i="20"/>
  <c r="IN24" i="20"/>
  <c r="IM24" i="20"/>
  <c r="IL24" i="20"/>
  <c r="IK24" i="20"/>
  <c r="IJ24" i="20"/>
  <c r="II24" i="20"/>
  <c r="IH24" i="20"/>
  <c r="IG24" i="20"/>
  <c r="IF24" i="20"/>
  <c r="IE24" i="20"/>
  <c r="ID24" i="20"/>
  <c r="IC24" i="20"/>
  <c r="IB24" i="20"/>
  <c r="IA24" i="20"/>
  <c r="HZ24" i="20"/>
  <c r="HY24" i="20"/>
  <c r="HX24" i="20"/>
  <c r="HW24" i="20"/>
  <c r="HV24" i="20"/>
  <c r="HU24" i="20"/>
  <c r="HT24" i="20"/>
  <c r="HS24" i="20"/>
  <c r="HR24" i="20"/>
  <c r="HQ24" i="20"/>
  <c r="HP24" i="20"/>
  <c r="HO24" i="20"/>
  <c r="HN24" i="20"/>
  <c r="HM24" i="20"/>
  <c r="HL24" i="20"/>
  <c r="HK24" i="20"/>
  <c r="HJ24" i="20"/>
  <c r="HI24" i="20"/>
  <c r="HH24" i="20"/>
  <c r="HG24" i="20"/>
  <c r="HF24" i="20"/>
  <c r="HE24" i="20"/>
  <c r="HD24" i="20"/>
  <c r="HC24" i="20"/>
  <c r="HB24" i="20"/>
  <c r="HA24" i="20"/>
  <c r="GZ24" i="20"/>
  <c r="GY24" i="20"/>
  <c r="GX24" i="20"/>
  <c r="GW24" i="20"/>
  <c r="GV24" i="20"/>
  <c r="GU24" i="20"/>
  <c r="GT24" i="20"/>
  <c r="GS24" i="20"/>
  <c r="GR24" i="20"/>
  <c r="GQ24" i="20"/>
  <c r="GP24" i="20"/>
  <c r="GO24" i="20"/>
  <c r="GN24" i="20"/>
  <c r="GM24" i="20"/>
  <c r="GL24" i="20"/>
  <c r="GK24" i="20"/>
  <c r="GJ24" i="20"/>
  <c r="GI24" i="20"/>
  <c r="GH24" i="20"/>
  <c r="GG24" i="20"/>
  <c r="GF24" i="20"/>
  <c r="GE24" i="20"/>
  <c r="GD24" i="20"/>
  <c r="GC24" i="20"/>
  <c r="GB24" i="20"/>
  <c r="GA24" i="20"/>
  <c r="FZ24" i="20"/>
  <c r="FY24" i="20"/>
  <c r="FX24" i="20"/>
  <c r="FW24" i="20"/>
  <c r="FV24" i="20"/>
  <c r="FU24" i="20"/>
  <c r="FT24" i="20"/>
  <c r="FS24" i="20"/>
  <c r="FR24" i="20"/>
  <c r="FQ24" i="20"/>
  <c r="FP24" i="20"/>
  <c r="FO24" i="20"/>
  <c r="FN24" i="20"/>
  <c r="FM24" i="20"/>
  <c r="FL24" i="20"/>
  <c r="FK24" i="20"/>
  <c r="FJ24" i="20"/>
  <c r="FI24" i="20"/>
  <c r="FH24" i="20"/>
  <c r="FG24" i="20"/>
  <c r="FF24" i="20"/>
  <c r="FE24" i="20"/>
  <c r="FD24" i="20"/>
  <c r="FC24" i="20"/>
  <c r="FB24" i="20"/>
  <c r="FA24" i="20"/>
  <c r="EZ24" i="20"/>
  <c r="EY24" i="20"/>
  <c r="EX24" i="20"/>
  <c r="EW24" i="20"/>
  <c r="EV24" i="20"/>
  <c r="EU24" i="20"/>
  <c r="ET24" i="20"/>
  <c r="ES24" i="20"/>
  <c r="ER24" i="20"/>
  <c r="EQ24" i="20"/>
  <c r="EP24" i="20"/>
  <c r="EO24" i="20"/>
  <c r="EN24" i="20"/>
  <c r="EM24" i="20"/>
  <c r="EL24" i="20"/>
  <c r="EK24" i="20"/>
  <c r="EJ24" i="20"/>
  <c r="EI24" i="20"/>
  <c r="EH24" i="20"/>
  <c r="EG24" i="20"/>
  <c r="EF24" i="20"/>
  <c r="EE24" i="20"/>
  <c r="ED24" i="20"/>
  <c r="EC24" i="20"/>
  <c r="EB24" i="20"/>
  <c r="EA24" i="20"/>
  <c r="DZ24" i="20"/>
  <c r="DY24" i="20"/>
  <c r="DX24" i="20"/>
  <c r="DW24" i="20"/>
  <c r="DV24" i="20"/>
  <c r="DU24" i="20"/>
  <c r="DT24" i="20"/>
  <c r="DS24" i="20"/>
  <c r="DR24" i="20"/>
  <c r="DQ24" i="20"/>
  <c r="DP24" i="20"/>
  <c r="DO24" i="20"/>
  <c r="DN24" i="20"/>
  <c r="DM24" i="20"/>
  <c r="DL24" i="20"/>
  <c r="DK24" i="20"/>
  <c r="DJ24" i="20"/>
  <c r="DI24" i="20"/>
  <c r="DH24" i="20"/>
  <c r="DG24" i="20"/>
  <c r="DF24" i="20"/>
  <c r="DE24" i="20"/>
  <c r="DD24" i="20"/>
  <c r="DC24" i="20"/>
  <c r="DB24" i="20"/>
  <c r="DA24" i="20"/>
  <c r="CZ24" i="20"/>
  <c r="CY24" i="20"/>
  <c r="CX24" i="20"/>
  <c r="CW24" i="20"/>
  <c r="CV24" i="20"/>
  <c r="CU24" i="20"/>
  <c r="CT24" i="20"/>
  <c r="CS24" i="20"/>
  <c r="CR24" i="20"/>
  <c r="CQ24" i="20"/>
  <c r="CP24" i="20"/>
  <c r="CO24" i="20"/>
  <c r="CN24" i="20"/>
  <c r="CM24" i="20"/>
  <c r="CL24" i="20"/>
  <c r="CK24" i="20"/>
  <c r="CJ24" i="20"/>
  <c r="CI24" i="20"/>
  <c r="CH24" i="20"/>
  <c r="CG24" i="20"/>
  <c r="CF24" i="20"/>
  <c r="CE24" i="20"/>
  <c r="CD24" i="20"/>
  <c r="CC24" i="20"/>
  <c r="CB24" i="20"/>
  <c r="CA24" i="20"/>
  <c r="BZ24" i="20"/>
  <c r="BY24" i="20"/>
  <c r="BX24" i="20"/>
  <c r="BW24" i="20"/>
  <c r="BV24" i="20"/>
  <c r="BU24" i="20"/>
  <c r="BT24" i="20"/>
  <c r="BS24" i="20"/>
  <c r="BR24" i="20"/>
  <c r="BQ24" i="20"/>
  <c r="BP24" i="20"/>
  <c r="BO24" i="20"/>
  <c r="BN24" i="20"/>
  <c r="BM24" i="20"/>
  <c r="BL24" i="20"/>
  <c r="BK24" i="20"/>
  <c r="BJ24" i="20"/>
  <c r="BI24" i="20"/>
  <c r="BH24" i="20"/>
  <c r="BG24" i="20"/>
  <c r="BF24"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V24" i="20"/>
  <c r="U24" i="20"/>
  <c r="T24" i="20"/>
  <c r="S24" i="20"/>
  <c r="R24" i="20"/>
  <c r="Q24" i="20"/>
  <c r="P24" i="20"/>
  <c r="O24" i="20"/>
  <c r="N24" i="20"/>
  <c r="M24" i="20"/>
  <c r="F5" i="4" l="1"/>
  <c r="F16" i="4" l="1"/>
  <c r="F29" i="4"/>
  <c r="H29" i="4" s="1"/>
  <c r="F24" i="4"/>
  <c r="F23" i="4"/>
  <c r="F45" i="4"/>
  <c r="J45" i="4" s="1"/>
  <c r="G39" i="18" s="1"/>
  <c r="F44" i="4"/>
  <c r="F22" i="4"/>
  <c r="H22" i="4" s="1"/>
  <c r="F34" i="4"/>
  <c r="J34" i="4" s="1"/>
  <c r="F21" i="4"/>
  <c r="H21" i="4" s="1"/>
  <c r="F30" i="4"/>
  <c r="J30" i="4" s="1"/>
  <c r="F32" i="4"/>
  <c r="H32" i="4" s="1"/>
  <c r="F31" i="4"/>
  <c r="H31" i="4" s="1"/>
  <c r="H23" i="4"/>
  <c r="H1303" i="18"/>
  <c r="F1303" i="18"/>
  <c r="H1272" i="18"/>
  <c r="F1272" i="18"/>
  <c r="H1231" i="18"/>
  <c r="F1231" i="18"/>
  <c r="H1230" i="18"/>
  <c r="F1230" i="18"/>
  <c r="H1229" i="18"/>
  <c r="F1229" i="18"/>
  <c r="H1228" i="18"/>
  <c r="F1228" i="18"/>
  <c r="H1122" i="18"/>
  <c r="G1122" i="18"/>
  <c r="F1122" i="18"/>
  <c r="H1041" i="7"/>
  <c r="G1041" i="7"/>
  <c r="F1041" i="7"/>
  <c r="H939" i="18"/>
  <c r="G939" i="18"/>
  <c r="F939" i="18"/>
  <c r="H937" i="18"/>
  <c r="G937" i="18"/>
  <c r="F937" i="18"/>
  <c r="H936" i="18"/>
  <c r="G936" i="18"/>
  <c r="F936" i="18"/>
  <c r="H856" i="7"/>
  <c r="G856" i="7"/>
  <c r="F856" i="7"/>
  <c r="H855" i="7"/>
  <c r="G855" i="7"/>
  <c r="F855" i="7"/>
  <c r="H858" i="7"/>
  <c r="G858" i="7"/>
  <c r="F858" i="7"/>
  <c r="F1015" i="18"/>
  <c r="F1014" i="18"/>
  <c r="F1013" i="18"/>
  <c r="F1012" i="18"/>
  <c r="F1020" i="18"/>
  <c r="F1019" i="18"/>
  <c r="F1018" i="18"/>
  <c r="F1017" i="18"/>
  <c r="F1025" i="18"/>
  <c r="F1024" i="18"/>
  <c r="F1023" i="18"/>
  <c r="F1022" i="18"/>
  <c r="E141" i="12"/>
  <c r="E140" i="12"/>
  <c r="E139" i="12"/>
  <c r="E138" i="12"/>
  <c r="E136" i="12"/>
  <c r="E135" i="12"/>
  <c r="E134" i="12"/>
  <c r="E133" i="12"/>
  <c r="E131" i="12"/>
  <c r="E130" i="12"/>
  <c r="E129" i="12"/>
  <c r="E128" i="12"/>
  <c r="E126" i="12"/>
  <c r="E125" i="12"/>
  <c r="E124" i="12"/>
  <c r="E123" i="12"/>
  <c r="E121" i="12"/>
  <c r="E120" i="12"/>
  <c r="E119" i="12"/>
  <c r="E118" i="12"/>
  <c r="E116" i="12"/>
  <c r="E115" i="12"/>
  <c r="E114" i="12"/>
  <c r="E113" i="12"/>
  <c r="E111" i="12"/>
  <c r="E110" i="12"/>
  <c r="E109" i="12"/>
  <c r="E108" i="12"/>
  <c r="G106" i="12"/>
  <c r="E106" i="12"/>
  <c r="G105" i="12"/>
  <c r="E105" i="12"/>
  <c r="G104" i="12"/>
  <c r="E104" i="12"/>
  <c r="G103" i="12"/>
  <c r="E103" i="12"/>
  <c r="G101" i="12"/>
  <c r="E101" i="12"/>
  <c r="G100" i="12"/>
  <c r="E100" i="12"/>
  <c r="G99" i="12"/>
  <c r="E99" i="12"/>
  <c r="G98" i="12"/>
  <c r="E98" i="12"/>
  <c r="E96" i="12"/>
  <c r="E95" i="12"/>
  <c r="E94" i="12"/>
  <c r="E93" i="12"/>
  <c r="E72" i="12"/>
  <c r="E71" i="12"/>
  <c r="E70" i="12"/>
  <c r="E69" i="12"/>
  <c r="E67" i="12"/>
  <c r="E66" i="12"/>
  <c r="E65" i="12"/>
  <c r="E64" i="12"/>
  <c r="F934" i="7"/>
  <c r="F933" i="7"/>
  <c r="F932" i="7"/>
  <c r="F931" i="7"/>
  <c r="F939" i="7"/>
  <c r="F938" i="7"/>
  <c r="F937" i="7"/>
  <c r="F936" i="7"/>
  <c r="F944" i="7"/>
  <c r="F943" i="7"/>
  <c r="F942" i="7"/>
  <c r="F941" i="7"/>
  <c r="E62" i="12"/>
  <c r="E61" i="12"/>
  <c r="E60" i="12"/>
  <c r="E59" i="12"/>
  <c r="E57" i="12"/>
  <c r="E56" i="12"/>
  <c r="E55" i="12"/>
  <c r="E54" i="12"/>
  <c r="G52" i="12"/>
  <c r="E52" i="12"/>
  <c r="G51" i="12"/>
  <c r="E51" i="12"/>
  <c r="G50" i="12"/>
  <c r="E50" i="12"/>
  <c r="G49" i="12"/>
  <c r="E49" i="12"/>
  <c r="G47" i="12"/>
  <c r="E47" i="12"/>
  <c r="G46" i="12"/>
  <c r="E46" i="12"/>
  <c r="G45" i="12"/>
  <c r="E45" i="12"/>
  <c r="G44" i="12"/>
  <c r="E44" i="12"/>
  <c r="E42" i="12"/>
  <c r="E41" i="12"/>
  <c r="E40" i="12"/>
  <c r="E39" i="12"/>
  <c r="H1341" i="18"/>
  <c r="G141" i="12" s="1"/>
  <c r="H1340" i="18"/>
  <c r="G140" i="12" s="1"/>
  <c r="H1339" i="18"/>
  <c r="G139" i="12" s="1"/>
  <c r="H1338" i="18"/>
  <c r="G138" i="12" s="1"/>
  <c r="H1311" i="18"/>
  <c r="G1311" i="18"/>
  <c r="F1311" i="18"/>
  <c r="H1310" i="18"/>
  <c r="G1310" i="18"/>
  <c r="F1310" i="18"/>
  <c r="F1307" i="18"/>
  <c r="F1306" i="18"/>
  <c r="F1305" i="18"/>
  <c r="H1329" i="18"/>
  <c r="G1329" i="18"/>
  <c r="G1334" i="18" s="1"/>
  <c r="F1329" i="18"/>
  <c r="H1327" i="18"/>
  <c r="G1327" i="18"/>
  <c r="G1333" i="18" s="1"/>
  <c r="F1327" i="18"/>
  <c r="H1325" i="18"/>
  <c r="G1325" i="18"/>
  <c r="F1325" i="18"/>
  <c r="H1324" i="18"/>
  <c r="G1324" i="18"/>
  <c r="F1324" i="18"/>
  <c r="H1323" i="18"/>
  <c r="G1323" i="18"/>
  <c r="F1323" i="18"/>
  <c r="H1321" i="18"/>
  <c r="G1321" i="18"/>
  <c r="F1321" i="18"/>
  <c r="H1320" i="18"/>
  <c r="G1320" i="18"/>
  <c r="F1320" i="18"/>
  <c r="H1319" i="18"/>
  <c r="G1319" i="18"/>
  <c r="F1319" i="18"/>
  <c r="H1318" i="18"/>
  <c r="G1318" i="18"/>
  <c r="F1318" i="18"/>
  <c r="H1317" i="18"/>
  <c r="G1317" i="18"/>
  <c r="F1317" i="18"/>
  <c r="H1308" i="18"/>
  <c r="G1308" i="18"/>
  <c r="F1308" i="18"/>
  <c r="H1298" i="18"/>
  <c r="G136" i="12" s="1"/>
  <c r="H1297" i="18"/>
  <c r="G135" i="12" s="1"/>
  <c r="H1296" i="18"/>
  <c r="G134" i="12" s="1"/>
  <c r="H1295" i="18"/>
  <c r="G133" i="12" s="1"/>
  <c r="H1293" i="18"/>
  <c r="G84" i="12" s="1"/>
  <c r="F1293" i="18"/>
  <c r="E84" i="12" s="1"/>
  <c r="H1286" i="18"/>
  <c r="G1286" i="18"/>
  <c r="G1291" i="18" s="1"/>
  <c r="F1286" i="18"/>
  <c r="H1284" i="18"/>
  <c r="G1284" i="18"/>
  <c r="G1290" i="18" s="1"/>
  <c r="F1284" i="18"/>
  <c r="H1282" i="18"/>
  <c r="G1282" i="18"/>
  <c r="F1282" i="18"/>
  <c r="H1281" i="18"/>
  <c r="G1281" i="18"/>
  <c r="F1281" i="18"/>
  <c r="H1280" i="18"/>
  <c r="G1280" i="18"/>
  <c r="F1280" i="18"/>
  <c r="H1278" i="18"/>
  <c r="G1278" i="18"/>
  <c r="F1278" i="18"/>
  <c r="H1277" i="18"/>
  <c r="G1277" i="18"/>
  <c r="F1277" i="18"/>
  <c r="H1276" i="18"/>
  <c r="G1276" i="18"/>
  <c r="F1276" i="18"/>
  <c r="H1275" i="18"/>
  <c r="G1275" i="18"/>
  <c r="F1275" i="18"/>
  <c r="H1274" i="18"/>
  <c r="G1274" i="18"/>
  <c r="F1274" i="18"/>
  <c r="F137" i="1"/>
  <c r="G1223" i="18" s="1"/>
  <c r="H1268" i="18"/>
  <c r="G1268" i="18"/>
  <c r="F1268" i="18"/>
  <c r="H1264" i="18"/>
  <c r="F1264" i="18"/>
  <c r="H1267" i="18"/>
  <c r="G1267" i="18"/>
  <c r="F1267" i="18"/>
  <c r="H1266" i="18"/>
  <c r="G1266" i="18"/>
  <c r="F1266" i="18"/>
  <c r="H1265" i="18"/>
  <c r="G1265" i="18"/>
  <c r="F1265" i="18"/>
  <c r="H1260" i="18"/>
  <c r="G131" i="12" s="1"/>
  <c r="H1259" i="18"/>
  <c r="G130" i="12" s="1"/>
  <c r="H1258" i="18"/>
  <c r="G129" i="12" s="1"/>
  <c r="H1257" i="18"/>
  <c r="G128" i="12" s="1"/>
  <c r="H1255" i="18"/>
  <c r="G83" i="12" s="1"/>
  <c r="F1255" i="18"/>
  <c r="E83" i="12" s="1"/>
  <c r="H1222" i="18"/>
  <c r="F1222" i="18"/>
  <c r="H1218" i="18"/>
  <c r="F1218" i="18"/>
  <c r="H1217" i="18"/>
  <c r="F1217" i="18"/>
  <c r="H1248" i="18"/>
  <c r="G1248" i="18"/>
  <c r="G1253" i="18" s="1"/>
  <c r="F1248" i="18"/>
  <c r="H1246" i="18"/>
  <c r="G1246" i="18"/>
  <c r="G1252" i="18" s="1"/>
  <c r="F1246" i="18"/>
  <c r="H1244" i="18"/>
  <c r="G1244" i="18"/>
  <c r="F1244" i="18"/>
  <c r="H1243" i="18"/>
  <c r="G1243" i="18"/>
  <c r="F1243" i="18"/>
  <c r="H1242" i="18"/>
  <c r="G1242" i="18"/>
  <c r="F1242" i="18"/>
  <c r="H1240" i="18"/>
  <c r="G1240" i="18"/>
  <c r="F1240" i="18"/>
  <c r="H1239" i="18"/>
  <c r="G1239" i="18"/>
  <c r="F1239" i="18"/>
  <c r="H1238" i="18"/>
  <c r="G1238" i="18"/>
  <c r="F1238" i="18"/>
  <c r="H1237" i="18"/>
  <c r="G1237" i="18"/>
  <c r="F1237" i="18"/>
  <c r="H1236" i="18"/>
  <c r="G1236" i="18"/>
  <c r="F1236" i="18"/>
  <c r="E1235" i="18"/>
  <c r="H1224" i="18"/>
  <c r="G1224" i="18"/>
  <c r="F1224" i="18"/>
  <c r="H1223" i="18"/>
  <c r="F1223" i="18"/>
  <c r="H274" i="18"/>
  <c r="F274" i="18"/>
  <c r="F100" i="18"/>
  <c r="H99" i="18"/>
  <c r="F99" i="18"/>
  <c r="H269" i="18"/>
  <c r="F269" i="18"/>
  <c r="H228" i="18"/>
  <c r="F228" i="18"/>
  <c r="H205" i="18"/>
  <c r="F205" i="18"/>
  <c r="H184" i="18"/>
  <c r="F184" i="18"/>
  <c r="H183" i="18"/>
  <c r="F183" i="18"/>
  <c r="H182" i="18"/>
  <c r="F182" i="18"/>
  <c r="H181" i="18"/>
  <c r="F181" i="18"/>
  <c r="H179" i="18"/>
  <c r="F179" i="18"/>
  <c r="H191" i="18"/>
  <c r="H190" i="18"/>
  <c r="H189" i="18"/>
  <c r="H188" i="18"/>
  <c r="H187" i="18"/>
  <c r="H186" i="18"/>
  <c r="H168" i="18"/>
  <c r="H167" i="18"/>
  <c r="H166" i="18"/>
  <c r="H165" i="18"/>
  <c r="H164" i="18"/>
  <c r="H163" i="18"/>
  <c r="H161" i="18"/>
  <c r="F161" i="18"/>
  <c r="H160" i="18"/>
  <c r="F160" i="18"/>
  <c r="H159" i="18"/>
  <c r="F159" i="18"/>
  <c r="H158" i="18"/>
  <c r="F158" i="18"/>
  <c r="H156" i="18"/>
  <c r="F156" i="18"/>
  <c r="H155" i="18"/>
  <c r="F155" i="18"/>
  <c r="H138" i="18"/>
  <c r="F138" i="18"/>
  <c r="H137" i="18"/>
  <c r="F137" i="18"/>
  <c r="H136" i="18"/>
  <c r="F136" i="18"/>
  <c r="H135" i="18"/>
  <c r="F135" i="18"/>
  <c r="H133" i="18"/>
  <c r="F133" i="18"/>
  <c r="H132" i="18"/>
  <c r="F132" i="18"/>
  <c r="H145" i="18"/>
  <c r="H144" i="18"/>
  <c r="H143" i="18"/>
  <c r="H142" i="18"/>
  <c r="H141" i="18"/>
  <c r="H140" i="18"/>
  <c r="F124" i="18"/>
  <c r="G18" i="18"/>
  <c r="F1208" i="18"/>
  <c r="F1207" i="18"/>
  <c r="F1206" i="18"/>
  <c r="F1205" i="18"/>
  <c r="F1203" i="18"/>
  <c r="F1202" i="18"/>
  <c r="F1201" i="18"/>
  <c r="F1200" i="18"/>
  <c r="F1198" i="18"/>
  <c r="F1197" i="18"/>
  <c r="F1196" i="18"/>
  <c r="F1195" i="18"/>
  <c r="F1187" i="18"/>
  <c r="F1186" i="18"/>
  <c r="F1185" i="18"/>
  <c r="F1184" i="18"/>
  <c r="F1182" i="18"/>
  <c r="F1181" i="18"/>
  <c r="F1180" i="18"/>
  <c r="F1179" i="18"/>
  <c r="H1177" i="18"/>
  <c r="H1192" i="18" s="1"/>
  <c r="H1176" i="18"/>
  <c r="H1191" i="18" s="1"/>
  <c r="H1207" i="18" s="1"/>
  <c r="H1175" i="18"/>
  <c r="H1190" i="18" s="1"/>
  <c r="H1174" i="18"/>
  <c r="H1184" i="18" s="1"/>
  <c r="H1172" i="18"/>
  <c r="F1172" i="18"/>
  <c r="H1165" i="18"/>
  <c r="G1165" i="18"/>
  <c r="G1170" i="18" s="1"/>
  <c r="F1165" i="18"/>
  <c r="H1163" i="18"/>
  <c r="G1163" i="18"/>
  <c r="G1169" i="18" s="1"/>
  <c r="F1163" i="18"/>
  <c r="H1161" i="18"/>
  <c r="G1161" i="18"/>
  <c r="F1161" i="18"/>
  <c r="H1160" i="18"/>
  <c r="G1160" i="18"/>
  <c r="F1160" i="18"/>
  <c r="H1159" i="18"/>
  <c r="G1159" i="18"/>
  <c r="F1159" i="18"/>
  <c r="H1157" i="18"/>
  <c r="G1157" i="18"/>
  <c r="F1157" i="18"/>
  <c r="H1156" i="18"/>
  <c r="G1156" i="18"/>
  <c r="F1156" i="18"/>
  <c r="H1155" i="18"/>
  <c r="G1155" i="18"/>
  <c r="F1155" i="18"/>
  <c r="H1154" i="18"/>
  <c r="G1154" i="18"/>
  <c r="F1154" i="18"/>
  <c r="H1153" i="18"/>
  <c r="G1153" i="18"/>
  <c r="F1153" i="18"/>
  <c r="H1151" i="18"/>
  <c r="H1182" i="18" s="1"/>
  <c r="H1150" i="18"/>
  <c r="H1181" i="18" s="1"/>
  <c r="H1149" i="18"/>
  <c r="H1180" i="18" s="1"/>
  <c r="H1148" i="18"/>
  <c r="H1179" i="18" s="1"/>
  <c r="H1146" i="18"/>
  <c r="F1146" i="18"/>
  <c r="H1139" i="18"/>
  <c r="G1139" i="18"/>
  <c r="G1144" i="18" s="1"/>
  <c r="F1139" i="18"/>
  <c r="H1137" i="18"/>
  <c r="G1137" i="18"/>
  <c r="G1143" i="18" s="1"/>
  <c r="F1137" i="18"/>
  <c r="H1135" i="18"/>
  <c r="G1135" i="18"/>
  <c r="F1135" i="18"/>
  <c r="H1134" i="18"/>
  <c r="G1134" i="18"/>
  <c r="F1134" i="18"/>
  <c r="H1133" i="18"/>
  <c r="G1133" i="18"/>
  <c r="F1133" i="18"/>
  <c r="H1131" i="18"/>
  <c r="G1131" i="18"/>
  <c r="F1131" i="18"/>
  <c r="H1130" i="18"/>
  <c r="G1130" i="18"/>
  <c r="F1130" i="18"/>
  <c r="H1129" i="18"/>
  <c r="G1129" i="18"/>
  <c r="F1129" i="18"/>
  <c r="H1128" i="18"/>
  <c r="G1128" i="18"/>
  <c r="F1128" i="18"/>
  <c r="H1127" i="18"/>
  <c r="G1127" i="18"/>
  <c r="F1127" i="18"/>
  <c r="H1120" i="18"/>
  <c r="G1120" i="18"/>
  <c r="F1120" i="18"/>
  <c r="H1119" i="18"/>
  <c r="G1119" i="18"/>
  <c r="F1119" i="18"/>
  <c r="H1117" i="18"/>
  <c r="F1117" i="18"/>
  <c r="H1114" i="18"/>
  <c r="H1203" i="18" s="1"/>
  <c r="H1113" i="18"/>
  <c r="H1112" i="18"/>
  <c r="H1201" i="18" s="1"/>
  <c r="H1111" i="18"/>
  <c r="H1200" i="18" s="1"/>
  <c r="H1109" i="18"/>
  <c r="F1109" i="18"/>
  <c r="H1102" i="18"/>
  <c r="G1102" i="18"/>
  <c r="G1107" i="18" s="1"/>
  <c r="F1102" i="18"/>
  <c r="H1100" i="18"/>
  <c r="G1100" i="18"/>
  <c r="G1106" i="18" s="1"/>
  <c r="F1100" i="18"/>
  <c r="H1098" i="18"/>
  <c r="G1098" i="18"/>
  <c r="F1098" i="18"/>
  <c r="H1097" i="18"/>
  <c r="G1097" i="18"/>
  <c r="F1097" i="18"/>
  <c r="H1096" i="18"/>
  <c r="G1096" i="18"/>
  <c r="F1096" i="18"/>
  <c r="H1094" i="18"/>
  <c r="G1094" i="18"/>
  <c r="F1094" i="18"/>
  <c r="H1093" i="18"/>
  <c r="G1093" i="18"/>
  <c r="F1093" i="18"/>
  <c r="H1092" i="18"/>
  <c r="G1092" i="18"/>
  <c r="F1092" i="18"/>
  <c r="H1091" i="18"/>
  <c r="G1091" i="18"/>
  <c r="F1091" i="18"/>
  <c r="H1090" i="18"/>
  <c r="G1090" i="18"/>
  <c r="F1090" i="18"/>
  <c r="H1086" i="18"/>
  <c r="H1198" i="18" s="1"/>
  <c r="H1085" i="18"/>
  <c r="H1197" i="18" s="1"/>
  <c r="H1084" i="18"/>
  <c r="H1083" i="18"/>
  <c r="H1081" i="18"/>
  <c r="F1081" i="18"/>
  <c r="G1073" i="18"/>
  <c r="G1071" i="18"/>
  <c r="G1067" i="18"/>
  <c r="H1060" i="18"/>
  <c r="G1060" i="18"/>
  <c r="F1060" i="18"/>
  <c r="H1058" i="18"/>
  <c r="G1058" i="18"/>
  <c r="F1058" i="18"/>
  <c r="H1056" i="18"/>
  <c r="G1056" i="18"/>
  <c r="F1056" i="18"/>
  <c r="H1055" i="18"/>
  <c r="G1055" i="18"/>
  <c r="F1055" i="18"/>
  <c r="H1054" i="18"/>
  <c r="G1054" i="18"/>
  <c r="F1054" i="18"/>
  <c r="H1052" i="18"/>
  <c r="G1052" i="18"/>
  <c r="F1052" i="18"/>
  <c r="H1051" i="18"/>
  <c r="G1051" i="18"/>
  <c r="F1051" i="18"/>
  <c r="H1050" i="18"/>
  <c r="G1050" i="18"/>
  <c r="F1050" i="18"/>
  <c r="H1049" i="18"/>
  <c r="G1049" i="18"/>
  <c r="F1049" i="18"/>
  <c r="H1048" i="18"/>
  <c r="G1048" i="18"/>
  <c r="F1048" i="18"/>
  <c r="H1046" i="18"/>
  <c r="G1046" i="18"/>
  <c r="F1046" i="18"/>
  <c r="H1044" i="18"/>
  <c r="G1044" i="18"/>
  <c r="F1044" i="18"/>
  <c r="H1042" i="18"/>
  <c r="G1042" i="18"/>
  <c r="F1042" i="18"/>
  <c r="H1041" i="18"/>
  <c r="G1041" i="18"/>
  <c r="F1041" i="18"/>
  <c r="H1040" i="18"/>
  <c r="G1040" i="18"/>
  <c r="F1040" i="18"/>
  <c r="H1038" i="18"/>
  <c r="G1038" i="18"/>
  <c r="F1038" i="18"/>
  <c r="H1037" i="18"/>
  <c r="G1037" i="18"/>
  <c r="F1037" i="18"/>
  <c r="H1036" i="18"/>
  <c r="G1036" i="18"/>
  <c r="F1036" i="18"/>
  <c r="H1035" i="18"/>
  <c r="G1035" i="18"/>
  <c r="F1035" i="18"/>
  <c r="H1034" i="18"/>
  <c r="G1034" i="18"/>
  <c r="F1034" i="18"/>
  <c r="F1004" i="18"/>
  <c r="F1003" i="18"/>
  <c r="F1002" i="18"/>
  <c r="F1001" i="18"/>
  <c r="F999" i="18"/>
  <c r="F998" i="18"/>
  <c r="F997" i="18"/>
  <c r="F996" i="18"/>
  <c r="H994" i="18"/>
  <c r="H1004" i="18" s="1"/>
  <c r="H993" i="18"/>
  <c r="H1003" i="18" s="1"/>
  <c r="H992" i="18"/>
  <c r="H1002" i="18" s="1"/>
  <c r="H991" i="18"/>
  <c r="H1001" i="18" s="1"/>
  <c r="H989" i="18"/>
  <c r="F989" i="18"/>
  <c r="H982" i="18"/>
  <c r="G982" i="18"/>
  <c r="G987" i="18" s="1"/>
  <c r="F982" i="18"/>
  <c r="H980" i="18"/>
  <c r="G980" i="18"/>
  <c r="G986" i="18" s="1"/>
  <c r="F980" i="18"/>
  <c r="H978" i="18"/>
  <c r="G978" i="18"/>
  <c r="F978" i="18"/>
  <c r="H977" i="18"/>
  <c r="G977" i="18"/>
  <c r="F977" i="18"/>
  <c r="H976" i="18"/>
  <c r="G976" i="18"/>
  <c r="F976" i="18"/>
  <c r="H974" i="18"/>
  <c r="G974" i="18"/>
  <c r="F974" i="18"/>
  <c r="H973" i="18"/>
  <c r="G973" i="18"/>
  <c r="F973" i="18"/>
  <c r="H972" i="18"/>
  <c r="G972" i="18"/>
  <c r="F972" i="18"/>
  <c r="H971" i="18"/>
  <c r="G971" i="18"/>
  <c r="F971" i="18"/>
  <c r="H970" i="18"/>
  <c r="G970" i="18"/>
  <c r="F970" i="18"/>
  <c r="H968" i="18"/>
  <c r="H999" i="18" s="1"/>
  <c r="H967" i="18"/>
  <c r="H998" i="18" s="1"/>
  <c r="H966" i="18"/>
  <c r="H997" i="18" s="1"/>
  <c r="H965" i="18"/>
  <c r="H996" i="18" s="1"/>
  <c r="H963" i="18"/>
  <c r="F963" i="18"/>
  <c r="H956" i="18"/>
  <c r="G956" i="18"/>
  <c r="G961" i="18" s="1"/>
  <c r="F956" i="18"/>
  <c r="H954" i="18"/>
  <c r="G954" i="18"/>
  <c r="G960" i="18" s="1"/>
  <c r="F954" i="18"/>
  <c r="H952" i="18"/>
  <c r="G952" i="18"/>
  <c r="F952" i="18"/>
  <c r="H951" i="18"/>
  <c r="G951" i="18"/>
  <c r="F951" i="18"/>
  <c r="H950" i="18"/>
  <c r="G950" i="18"/>
  <c r="F950" i="18"/>
  <c r="H948" i="18"/>
  <c r="G948" i="18"/>
  <c r="F948" i="18"/>
  <c r="H947" i="18"/>
  <c r="G947" i="18"/>
  <c r="F947" i="18"/>
  <c r="H946" i="18"/>
  <c r="G946" i="18"/>
  <c r="F946" i="18"/>
  <c r="H945" i="18"/>
  <c r="G945" i="18"/>
  <c r="F945" i="18"/>
  <c r="H944" i="18"/>
  <c r="G944" i="18"/>
  <c r="F944" i="18"/>
  <c r="H934" i="18"/>
  <c r="F934" i="18"/>
  <c r="H931" i="18"/>
  <c r="H1020" i="18" s="1"/>
  <c r="H930" i="18"/>
  <c r="H1019" i="18" s="1"/>
  <c r="H929" i="18"/>
  <c r="H1018" i="18" s="1"/>
  <c r="H928" i="18"/>
  <c r="H1017" i="18" s="1"/>
  <c r="H926" i="18"/>
  <c r="F926" i="18"/>
  <c r="H919" i="18"/>
  <c r="G919" i="18"/>
  <c r="G924" i="18" s="1"/>
  <c r="F919" i="18"/>
  <c r="H917" i="18"/>
  <c r="G917" i="18"/>
  <c r="G923" i="18" s="1"/>
  <c r="F917" i="18"/>
  <c r="H915" i="18"/>
  <c r="G915" i="18"/>
  <c r="F915" i="18"/>
  <c r="H914" i="18"/>
  <c r="G914" i="18"/>
  <c r="F914" i="18"/>
  <c r="H913" i="18"/>
  <c r="G913" i="18"/>
  <c r="F913" i="18"/>
  <c r="H911" i="18"/>
  <c r="G911" i="18"/>
  <c r="F911" i="18"/>
  <c r="H910" i="18"/>
  <c r="G910" i="18"/>
  <c r="F910" i="18"/>
  <c r="H909" i="18"/>
  <c r="G909" i="18"/>
  <c r="F909" i="18"/>
  <c r="H908" i="18"/>
  <c r="G908" i="18"/>
  <c r="F908" i="18"/>
  <c r="H907" i="18"/>
  <c r="G907" i="18"/>
  <c r="F907" i="18"/>
  <c r="H903" i="18"/>
  <c r="H1015" i="18" s="1"/>
  <c r="H902" i="18"/>
  <c r="H1014" i="18" s="1"/>
  <c r="H901" i="18"/>
  <c r="H1013" i="18" s="1"/>
  <c r="H900" i="18"/>
  <c r="H1012" i="18" s="1"/>
  <c r="H898" i="18"/>
  <c r="F898" i="18"/>
  <c r="H845" i="18"/>
  <c r="G845" i="18"/>
  <c r="F845" i="18"/>
  <c r="H840" i="18"/>
  <c r="F840" i="18"/>
  <c r="H839" i="18"/>
  <c r="F839" i="18"/>
  <c r="H834" i="18"/>
  <c r="F834" i="18"/>
  <c r="H829" i="18"/>
  <c r="F829" i="18"/>
  <c r="H828" i="18"/>
  <c r="F828" i="18"/>
  <c r="H824" i="18"/>
  <c r="G116" i="12" s="1"/>
  <c r="H823" i="18"/>
  <c r="G115" i="12" s="1"/>
  <c r="H822" i="18"/>
  <c r="G114" i="12" s="1"/>
  <c r="H821" i="18"/>
  <c r="G113" i="12" s="1"/>
  <c r="H819" i="18"/>
  <c r="F819" i="18"/>
  <c r="H818" i="18"/>
  <c r="F818" i="18"/>
  <c r="H817" i="18"/>
  <c r="F817" i="18"/>
  <c r="H816" i="18"/>
  <c r="F816" i="18"/>
  <c r="H814" i="18"/>
  <c r="F814" i="18"/>
  <c r="H813" i="18"/>
  <c r="F813" i="18"/>
  <c r="H812" i="18"/>
  <c r="F812" i="18"/>
  <c r="H811" i="18"/>
  <c r="F811" i="18"/>
  <c r="H803" i="18"/>
  <c r="F803" i="18"/>
  <c r="H796" i="18"/>
  <c r="G796" i="18"/>
  <c r="G801" i="18" s="1"/>
  <c r="F796" i="18"/>
  <c r="H794" i="18"/>
  <c r="G794" i="18"/>
  <c r="G800" i="18" s="1"/>
  <c r="F794" i="18"/>
  <c r="H792" i="18"/>
  <c r="G792" i="18"/>
  <c r="F792" i="18"/>
  <c r="H791" i="18"/>
  <c r="G791" i="18"/>
  <c r="F791" i="18"/>
  <c r="H790" i="18"/>
  <c r="G790" i="18"/>
  <c r="F790" i="18"/>
  <c r="H788" i="18"/>
  <c r="G788" i="18"/>
  <c r="F788" i="18"/>
  <c r="H787" i="18"/>
  <c r="G787" i="18"/>
  <c r="F787" i="18"/>
  <c r="H786" i="18"/>
  <c r="G786" i="18"/>
  <c r="F786" i="18"/>
  <c r="H785" i="18"/>
  <c r="G785" i="18"/>
  <c r="F785" i="18"/>
  <c r="H784" i="18"/>
  <c r="G784" i="18"/>
  <c r="F784" i="18"/>
  <c r="H776" i="18"/>
  <c r="F776" i="18"/>
  <c r="H769" i="18"/>
  <c r="G769" i="18"/>
  <c r="G774" i="18" s="1"/>
  <c r="F769" i="18"/>
  <c r="H767" i="18"/>
  <c r="G767" i="18"/>
  <c r="G773" i="18" s="1"/>
  <c r="F767" i="18"/>
  <c r="H765" i="18"/>
  <c r="G765" i="18"/>
  <c r="F765" i="18"/>
  <c r="H764" i="18"/>
  <c r="G764" i="18"/>
  <c r="F764" i="18"/>
  <c r="H763" i="18"/>
  <c r="G763" i="18"/>
  <c r="F763" i="18"/>
  <c r="H761" i="18"/>
  <c r="G761" i="18"/>
  <c r="F761" i="18"/>
  <c r="H760" i="18"/>
  <c r="G760" i="18"/>
  <c r="F760" i="18"/>
  <c r="H759" i="18"/>
  <c r="G759" i="18"/>
  <c r="F759" i="18"/>
  <c r="H758" i="18"/>
  <c r="G758" i="18"/>
  <c r="F758" i="18"/>
  <c r="H757" i="18"/>
  <c r="G757" i="18"/>
  <c r="F757" i="18"/>
  <c r="H751" i="18"/>
  <c r="G751" i="18"/>
  <c r="F751" i="18"/>
  <c r="H750" i="18"/>
  <c r="G750" i="18"/>
  <c r="F750" i="18"/>
  <c r="H748" i="18"/>
  <c r="F748" i="18"/>
  <c r="H743" i="18"/>
  <c r="G743" i="18"/>
  <c r="F743" i="18"/>
  <c r="H742" i="18"/>
  <c r="G742" i="18"/>
  <c r="F742" i="18"/>
  <c r="H741" i="18"/>
  <c r="F741" i="18"/>
  <c r="H740" i="18"/>
  <c r="F740" i="18"/>
  <c r="H734" i="18"/>
  <c r="G111" i="12" s="1"/>
  <c r="H733" i="18"/>
  <c r="G110" i="12" s="1"/>
  <c r="H732" i="18"/>
  <c r="G109" i="12" s="1"/>
  <c r="H731" i="18"/>
  <c r="G108" i="12" s="1"/>
  <c r="H729" i="18"/>
  <c r="F729" i="18"/>
  <c r="H728" i="18"/>
  <c r="F728" i="18"/>
  <c r="H727" i="18"/>
  <c r="F727" i="18"/>
  <c r="H726" i="18"/>
  <c r="F726" i="18"/>
  <c r="H724" i="18"/>
  <c r="F724" i="18"/>
  <c r="H723" i="18"/>
  <c r="F723" i="18"/>
  <c r="H722" i="18"/>
  <c r="F722" i="18"/>
  <c r="H721" i="18"/>
  <c r="F721" i="18"/>
  <c r="H719" i="18"/>
  <c r="F719" i="18"/>
  <c r="H718" i="18"/>
  <c r="F718" i="18"/>
  <c r="H717" i="18"/>
  <c r="F717" i="18"/>
  <c r="H716" i="18"/>
  <c r="F716" i="18"/>
  <c r="H708" i="18"/>
  <c r="F708" i="18"/>
  <c r="H701" i="18"/>
  <c r="G701" i="18"/>
  <c r="G706" i="18" s="1"/>
  <c r="F701" i="18"/>
  <c r="H699" i="18"/>
  <c r="G699" i="18"/>
  <c r="G705" i="18" s="1"/>
  <c r="F699" i="18"/>
  <c r="H697" i="18"/>
  <c r="G697" i="18"/>
  <c r="F697" i="18"/>
  <c r="H696" i="18"/>
  <c r="G696" i="18"/>
  <c r="F696" i="18"/>
  <c r="H695" i="18"/>
  <c r="G695" i="18"/>
  <c r="F695" i="18"/>
  <c r="H693" i="18"/>
  <c r="G693" i="18"/>
  <c r="F693" i="18"/>
  <c r="H692" i="18"/>
  <c r="G692" i="18"/>
  <c r="F692" i="18"/>
  <c r="H691" i="18"/>
  <c r="G691" i="18"/>
  <c r="F691" i="18"/>
  <c r="H690" i="18"/>
  <c r="G690" i="18"/>
  <c r="F690" i="18"/>
  <c r="H689" i="18"/>
  <c r="G689" i="18"/>
  <c r="F689" i="18"/>
  <c r="H681" i="18"/>
  <c r="F681" i="18"/>
  <c r="H674" i="18"/>
  <c r="G674" i="18"/>
  <c r="G679" i="18" s="1"/>
  <c r="F674" i="18"/>
  <c r="H672" i="18"/>
  <c r="G672" i="18"/>
  <c r="G678" i="18" s="1"/>
  <c r="F672" i="18"/>
  <c r="H670" i="18"/>
  <c r="G670" i="18"/>
  <c r="F670" i="18"/>
  <c r="H669" i="18"/>
  <c r="G669" i="18"/>
  <c r="F669" i="18"/>
  <c r="H668" i="18"/>
  <c r="G668" i="18"/>
  <c r="F668" i="18"/>
  <c r="H666" i="18"/>
  <c r="G666" i="18"/>
  <c r="F666" i="18"/>
  <c r="H665" i="18"/>
  <c r="G665" i="18"/>
  <c r="F665" i="18"/>
  <c r="H664" i="18"/>
  <c r="G664" i="18"/>
  <c r="F664" i="18"/>
  <c r="H663" i="18"/>
  <c r="G663" i="18"/>
  <c r="F663" i="18"/>
  <c r="H662" i="18"/>
  <c r="G662" i="18"/>
  <c r="F662" i="18"/>
  <c r="H654" i="18"/>
  <c r="F654" i="18"/>
  <c r="H647" i="18"/>
  <c r="G647" i="18"/>
  <c r="G652" i="18" s="1"/>
  <c r="F647" i="18"/>
  <c r="H645" i="18"/>
  <c r="G645" i="18"/>
  <c r="G651" i="18" s="1"/>
  <c r="F645" i="18"/>
  <c r="H643" i="18"/>
  <c r="G643" i="18"/>
  <c r="F643" i="18"/>
  <c r="H642" i="18"/>
  <c r="G642" i="18"/>
  <c r="F642" i="18"/>
  <c r="H641" i="18"/>
  <c r="G641" i="18"/>
  <c r="F641" i="18"/>
  <c r="H639" i="18"/>
  <c r="G639" i="18"/>
  <c r="F639" i="18"/>
  <c r="H638" i="18"/>
  <c r="G638" i="18"/>
  <c r="F638" i="18"/>
  <c r="H637" i="18"/>
  <c r="G637" i="18"/>
  <c r="F637" i="18"/>
  <c r="H636" i="18"/>
  <c r="G636" i="18"/>
  <c r="F636" i="18"/>
  <c r="H635" i="18"/>
  <c r="G635" i="18"/>
  <c r="F635" i="18"/>
  <c r="H629" i="18"/>
  <c r="G629" i="18"/>
  <c r="F629" i="18"/>
  <c r="H628" i="18"/>
  <c r="G628" i="18"/>
  <c r="F628" i="18"/>
  <c r="F627" i="18"/>
  <c r="H626" i="18"/>
  <c r="F626" i="18"/>
  <c r="H621" i="18"/>
  <c r="G621" i="18"/>
  <c r="F621" i="18"/>
  <c r="H620" i="18"/>
  <c r="G620" i="18"/>
  <c r="F620" i="18"/>
  <c r="F619" i="18"/>
  <c r="H618" i="18"/>
  <c r="F618" i="18"/>
  <c r="H613" i="18"/>
  <c r="G613" i="18"/>
  <c r="F613" i="18"/>
  <c r="H612" i="18"/>
  <c r="G612" i="18"/>
  <c r="F612" i="18"/>
  <c r="F611" i="18"/>
  <c r="H610" i="18"/>
  <c r="F610" i="18"/>
  <c r="H606" i="18"/>
  <c r="G606" i="18"/>
  <c r="F606" i="18"/>
  <c r="H605" i="18"/>
  <c r="G605" i="18"/>
  <c r="F605" i="18"/>
  <c r="H604" i="18"/>
  <c r="G604" i="18"/>
  <c r="F604" i="18"/>
  <c r="H602" i="18"/>
  <c r="G602" i="18"/>
  <c r="F602" i="18"/>
  <c r="H601" i="18"/>
  <c r="G601" i="18"/>
  <c r="F601" i="18"/>
  <c r="H600" i="18"/>
  <c r="G600" i="18"/>
  <c r="F600" i="18"/>
  <c r="H594" i="18"/>
  <c r="F594" i="18"/>
  <c r="H593" i="18"/>
  <c r="F593" i="18"/>
  <c r="H592" i="18"/>
  <c r="F592" i="18"/>
  <c r="H591" i="18"/>
  <c r="F591" i="18"/>
  <c r="H589" i="18"/>
  <c r="H627" i="18" s="1"/>
  <c r="H587" i="18"/>
  <c r="F587" i="18"/>
  <c r="H586" i="18"/>
  <c r="F586" i="18"/>
  <c r="H581" i="18"/>
  <c r="F581" i="18"/>
  <c r="H580" i="18"/>
  <c r="F580" i="18"/>
  <c r="H579" i="18"/>
  <c r="F579" i="18"/>
  <c r="H578" i="18"/>
  <c r="F578" i="18"/>
  <c r="H574" i="18"/>
  <c r="F574" i="18"/>
  <c r="H573" i="18"/>
  <c r="F573" i="18"/>
  <c r="H572" i="18"/>
  <c r="F572" i="18"/>
  <c r="H571" i="18"/>
  <c r="F571" i="18"/>
  <c r="H562" i="18"/>
  <c r="F562" i="18"/>
  <c r="H561" i="18"/>
  <c r="F561" i="18"/>
  <c r="H560" i="18"/>
  <c r="F560" i="18"/>
  <c r="H559" i="18"/>
  <c r="F559" i="18"/>
  <c r="H557" i="18"/>
  <c r="F557" i="18"/>
  <c r="H556" i="18"/>
  <c r="F556" i="18"/>
  <c r="H555" i="18"/>
  <c r="F555" i="18"/>
  <c r="H554" i="18"/>
  <c r="F554" i="18"/>
  <c r="H547" i="18"/>
  <c r="F547" i="18"/>
  <c r="H526" i="18"/>
  <c r="G526" i="18"/>
  <c r="F526" i="18"/>
  <c r="H524" i="18"/>
  <c r="G524" i="18"/>
  <c r="F524" i="18"/>
  <c r="H522" i="18"/>
  <c r="G522" i="18"/>
  <c r="F522" i="18"/>
  <c r="H521" i="18"/>
  <c r="G521" i="18"/>
  <c r="F521" i="18"/>
  <c r="H520" i="18"/>
  <c r="G520" i="18"/>
  <c r="F520" i="18"/>
  <c r="H518" i="18"/>
  <c r="G518" i="18"/>
  <c r="F518" i="18"/>
  <c r="H517" i="18"/>
  <c r="G517" i="18"/>
  <c r="F517" i="18"/>
  <c r="H516" i="18"/>
  <c r="G516" i="18"/>
  <c r="F516" i="18"/>
  <c r="H515" i="18"/>
  <c r="G515" i="18"/>
  <c r="F515" i="18"/>
  <c r="H514" i="18"/>
  <c r="G514" i="18"/>
  <c r="F514" i="18"/>
  <c r="H512" i="18"/>
  <c r="G512" i="18"/>
  <c r="F512" i="18"/>
  <c r="H510" i="18"/>
  <c r="G510" i="18"/>
  <c r="F510" i="18"/>
  <c r="H508" i="18"/>
  <c r="G508" i="18"/>
  <c r="F508" i="18"/>
  <c r="H507" i="18"/>
  <c r="G507" i="18"/>
  <c r="F507" i="18"/>
  <c r="H506" i="18"/>
  <c r="G506" i="18"/>
  <c r="F506" i="18"/>
  <c r="H504" i="18"/>
  <c r="G504" i="18"/>
  <c r="F504" i="18"/>
  <c r="H503" i="18"/>
  <c r="G503" i="18"/>
  <c r="F503" i="18"/>
  <c r="H502" i="18"/>
  <c r="G502" i="18"/>
  <c r="F502" i="18"/>
  <c r="H501" i="18"/>
  <c r="G501" i="18"/>
  <c r="F501" i="18"/>
  <c r="H500" i="18"/>
  <c r="G500" i="18"/>
  <c r="F500" i="18"/>
  <c r="H492" i="18"/>
  <c r="F492" i="18"/>
  <c r="H485" i="18"/>
  <c r="G485" i="18"/>
  <c r="G490" i="18" s="1"/>
  <c r="F485" i="18"/>
  <c r="H483" i="18"/>
  <c r="G483" i="18"/>
  <c r="G489" i="18" s="1"/>
  <c r="F483" i="18"/>
  <c r="H481" i="18"/>
  <c r="G481" i="18"/>
  <c r="F481" i="18"/>
  <c r="H480" i="18"/>
  <c r="G480" i="18"/>
  <c r="F480" i="18"/>
  <c r="H479" i="18"/>
  <c r="G479" i="18"/>
  <c r="F479" i="18"/>
  <c r="H477" i="18"/>
  <c r="G477" i="18"/>
  <c r="F477" i="18"/>
  <c r="H476" i="18"/>
  <c r="G476" i="18"/>
  <c r="F476" i="18"/>
  <c r="H475" i="18"/>
  <c r="G475" i="18"/>
  <c r="F475" i="18"/>
  <c r="H474" i="18"/>
  <c r="G474" i="18"/>
  <c r="F474" i="18"/>
  <c r="H473" i="18"/>
  <c r="G473" i="18"/>
  <c r="F473" i="18"/>
  <c r="H464" i="18"/>
  <c r="F464" i="18"/>
  <c r="H463" i="18"/>
  <c r="F463" i="18"/>
  <c r="H462" i="18"/>
  <c r="F462" i="18"/>
  <c r="H461" i="18"/>
  <c r="F461" i="18"/>
  <c r="H459" i="18"/>
  <c r="F459" i="18"/>
  <c r="H458" i="18"/>
  <c r="F458" i="18"/>
  <c r="H457" i="18"/>
  <c r="F457" i="18"/>
  <c r="H456" i="18"/>
  <c r="F456" i="18"/>
  <c r="H448" i="18"/>
  <c r="F448" i="18"/>
  <c r="G446" i="18"/>
  <c r="G445" i="18"/>
  <c r="H421" i="18"/>
  <c r="F421" i="18"/>
  <c r="H414" i="18"/>
  <c r="G414" i="18"/>
  <c r="G419" i="18" s="1"/>
  <c r="F414" i="18"/>
  <c r="H412" i="18"/>
  <c r="G412" i="18"/>
  <c r="G418" i="18" s="1"/>
  <c r="F412" i="18"/>
  <c r="H410" i="18"/>
  <c r="G410" i="18"/>
  <c r="F410" i="18"/>
  <c r="H409" i="18"/>
  <c r="G409" i="18"/>
  <c r="F409" i="18"/>
  <c r="H408" i="18"/>
  <c r="G408" i="18"/>
  <c r="F408" i="18"/>
  <c r="H406" i="18"/>
  <c r="G406" i="18"/>
  <c r="F406" i="18"/>
  <c r="H405" i="18"/>
  <c r="G405" i="18"/>
  <c r="F405" i="18"/>
  <c r="H404" i="18"/>
  <c r="G404" i="18"/>
  <c r="F404" i="18"/>
  <c r="H403" i="18"/>
  <c r="G403" i="18"/>
  <c r="F403" i="18"/>
  <c r="H402" i="18"/>
  <c r="G402" i="18"/>
  <c r="F402" i="18"/>
  <c r="H399" i="18"/>
  <c r="G96" i="12" s="1"/>
  <c r="H398" i="18"/>
  <c r="G95" i="12" s="1"/>
  <c r="H397" i="18"/>
  <c r="G94" i="12" s="1"/>
  <c r="H396" i="18"/>
  <c r="G93" i="12" s="1"/>
  <c r="H394" i="18"/>
  <c r="F394" i="18"/>
  <c r="H393" i="18"/>
  <c r="F393" i="18"/>
  <c r="H392" i="18"/>
  <c r="F392" i="18"/>
  <c r="H391" i="18"/>
  <c r="F391" i="18"/>
  <c r="H389" i="18"/>
  <c r="F389" i="18"/>
  <c r="H388" i="18"/>
  <c r="F388" i="18"/>
  <c r="H387" i="18"/>
  <c r="F387" i="18"/>
  <c r="H386" i="18"/>
  <c r="F386" i="18"/>
  <c r="F378" i="18"/>
  <c r="H371" i="18"/>
  <c r="G371" i="18"/>
  <c r="G376" i="18" s="1"/>
  <c r="F371" i="18"/>
  <c r="H370" i="18"/>
  <c r="G370" i="18"/>
  <c r="F370" i="18"/>
  <c r="H369" i="18"/>
  <c r="G369" i="18"/>
  <c r="G375" i="18" s="1"/>
  <c r="F369" i="18"/>
  <c r="H368" i="18"/>
  <c r="G368" i="18"/>
  <c r="F368" i="18"/>
  <c r="H367" i="18"/>
  <c r="G367" i="18"/>
  <c r="F367" i="18"/>
  <c r="H366" i="18"/>
  <c r="G366" i="18"/>
  <c r="F366" i="18"/>
  <c r="H365" i="18"/>
  <c r="G365" i="18"/>
  <c r="F365" i="18"/>
  <c r="H364" i="18"/>
  <c r="G364" i="18"/>
  <c r="F364" i="18"/>
  <c r="H363" i="18"/>
  <c r="G363" i="18"/>
  <c r="F363" i="18"/>
  <c r="H362" i="18"/>
  <c r="G362" i="18"/>
  <c r="F362" i="18"/>
  <c r="H361" i="18"/>
  <c r="G361" i="18"/>
  <c r="F361" i="18"/>
  <c r="H360" i="18"/>
  <c r="G360" i="18"/>
  <c r="F360" i="18"/>
  <c r="H359" i="18"/>
  <c r="G359" i="18"/>
  <c r="F359" i="18"/>
  <c r="F351" i="18"/>
  <c r="H344" i="18"/>
  <c r="G344" i="18"/>
  <c r="G349" i="18" s="1"/>
  <c r="F344" i="18"/>
  <c r="H342" i="18"/>
  <c r="G342" i="18"/>
  <c r="G348" i="18" s="1"/>
  <c r="F342" i="18"/>
  <c r="H340" i="18"/>
  <c r="G340" i="18"/>
  <c r="F340" i="18"/>
  <c r="H339" i="18"/>
  <c r="G339" i="18"/>
  <c r="F339" i="18"/>
  <c r="H338" i="18"/>
  <c r="G338" i="18"/>
  <c r="F338" i="18"/>
  <c r="H336" i="18"/>
  <c r="G336" i="18"/>
  <c r="F336" i="18"/>
  <c r="H335" i="18"/>
  <c r="G335" i="18"/>
  <c r="F335" i="18"/>
  <c r="H334" i="18"/>
  <c r="G334" i="18"/>
  <c r="F334" i="18"/>
  <c r="H333" i="18"/>
  <c r="G333" i="18"/>
  <c r="F333" i="18"/>
  <c r="H332" i="18"/>
  <c r="G332" i="18"/>
  <c r="F332" i="18"/>
  <c r="H315" i="18"/>
  <c r="G91" i="12" s="1"/>
  <c r="F315" i="18"/>
  <c r="E91" i="12" s="1"/>
  <c r="H314" i="18"/>
  <c r="G90" i="12" s="1"/>
  <c r="F314" i="18"/>
  <c r="E90" i="12" s="1"/>
  <c r="H313" i="18"/>
  <c r="G81" i="12" s="1"/>
  <c r="F313" i="18"/>
  <c r="E81" i="12" s="1"/>
  <c r="H312" i="18"/>
  <c r="G80" i="12" s="1"/>
  <c r="F312" i="18"/>
  <c r="E80" i="12" s="1"/>
  <c r="H310" i="18"/>
  <c r="G89" i="12" s="1"/>
  <c r="F310" i="18"/>
  <c r="E89" i="12" s="1"/>
  <c r="H309" i="18"/>
  <c r="G88" i="12" s="1"/>
  <c r="F309" i="18"/>
  <c r="E88" i="12" s="1"/>
  <c r="H308" i="18"/>
  <c r="G79" i="12" s="1"/>
  <c r="F308" i="18"/>
  <c r="E79" i="12" s="1"/>
  <c r="H307" i="18"/>
  <c r="G78" i="12" s="1"/>
  <c r="F307" i="18"/>
  <c r="E78" i="12" s="1"/>
  <c r="H305" i="18"/>
  <c r="G87" i="12" s="1"/>
  <c r="F305" i="18"/>
  <c r="E87" i="12" s="1"/>
  <c r="H285" i="18"/>
  <c r="G285" i="18"/>
  <c r="F285" i="18"/>
  <c r="H278" i="18"/>
  <c r="G278" i="18"/>
  <c r="F278" i="18"/>
  <c r="H275" i="18"/>
  <c r="F275" i="18"/>
  <c r="H273" i="18"/>
  <c r="F273" i="18"/>
  <c r="H271" i="18"/>
  <c r="G271" i="18"/>
  <c r="F271" i="18"/>
  <c r="H266" i="18"/>
  <c r="H265" i="18"/>
  <c r="H264" i="18"/>
  <c r="H378" i="18" s="1"/>
  <c r="H263" i="18"/>
  <c r="H351" i="18" s="1"/>
  <c r="H259" i="18"/>
  <c r="F259" i="18"/>
  <c r="H258" i="18"/>
  <c r="F258" i="18"/>
  <c r="H257" i="18"/>
  <c r="F257" i="18"/>
  <c r="H256" i="18"/>
  <c r="F256" i="18"/>
  <c r="H254" i="18"/>
  <c r="F254" i="18"/>
  <c r="H253" i="18"/>
  <c r="F253" i="18"/>
  <c r="H252" i="18"/>
  <c r="F252" i="18"/>
  <c r="H251" i="18"/>
  <c r="F251" i="18"/>
  <c r="H243" i="18"/>
  <c r="G243" i="18"/>
  <c r="F243" i="18"/>
  <c r="H236" i="18"/>
  <c r="G236" i="18"/>
  <c r="F236" i="18"/>
  <c r="H233" i="18"/>
  <c r="G233" i="18"/>
  <c r="F233" i="18"/>
  <c r="H232" i="18"/>
  <c r="F232" i="18"/>
  <c r="H230" i="18"/>
  <c r="G230" i="18"/>
  <c r="F230" i="18"/>
  <c r="H220" i="18"/>
  <c r="G220" i="18"/>
  <c r="F220" i="18"/>
  <c r="H213" i="18"/>
  <c r="G213" i="18"/>
  <c r="F213" i="18"/>
  <c r="H210" i="18"/>
  <c r="F210" i="18"/>
  <c r="H209" i="18"/>
  <c r="F209" i="18"/>
  <c r="H207" i="18"/>
  <c r="G207" i="18"/>
  <c r="F207" i="18"/>
  <c r="H115" i="18"/>
  <c r="F115" i="18"/>
  <c r="H114" i="18"/>
  <c r="F114" i="18"/>
  <c r="H113" i="18"/>
  <c r="F113" i="18"/>
  <c r="H112" i="18"/>
  <c r="F112" i="18"/>
  <c r="H110" i="18"/>
  <c r="H178" i="18" s="1"/>
  <c r="F110" i="18"/>
  <c r="F178" i="18" s="1"/>
  <c r="H91" i="18"/>
  <c r="F91" i="18"/>
  <c r="F59" i="18"/>
  <c r="F58" i="18"/>
  <c r="F56" i="18"/>
  <c r="F54" i="18"/>
  <c r="F53" i="18"/>
  <c r="F52" i="18"/>
  <c r="F51" i="18"/>
  <c r="F49" i="18"/>
  <c r="F48" i="18"/>
  <c r="F47" i="18"/>
  <c r="F46" i="18"/>
  <c r="F44" i="18"/>
  <c r="F43" i="18"/>
  <c r="F39" i="18"/>
  <c r="F38" i="18"/>
  <c r="F36" i="18"/>
  <c r="F28" i="18"/>
  <c r="F27" i="18"/>
  <c r="F26" i="18"/>
  <c r="F25" i="18"/>
  <c r="F23" i="18"/>
  <c r="F22" i="18"/>
  <c r="F21" i="18"/>
  <c r="F20" i="18"/>
  <c r="F16" i="18"/>
  <c r="G15" i="18"/>
  <c r="F15" i="18"/>
  <c r="G7" i="18"/>
  <c r="G10" i="18" s="1"/>
  <c r="F270" i="7"/>
  <c r="H1036" i="7"/>
  <c r="F1036" i="7"/>
  <c r="H1000" i="7"/>
  <c r="F1000" i="7"/>
  <c r="H764" i="7"/>
  <c r="G764" i="7"/>
  <c r="F764" i="7"/>
  <c r="H853" i="7"/>
  <c r="F853" i="7"/>
  <c r="H845" i="7"/>
  <c r="F845" i="7"/>
  <c r="H817" i="7"/>
  <c r="F817" i="7"/>
  <c r="H753" i="7"/>
  <c r="F753" i="7"/>
  <c r="G753" i="7"/>
  <c r="J44" i="4" l="1"/>
  <c r="G38" i="18" s="1"/>
  <c r="H30" i="4"/>
  <c r="H24" i="4"/>
  <c r="H44" i="4"/>
  <c r="H34" i="4"/>
  <c r="J21" i="4"/>
  <c r="J23" i="4"/>
  <c r="F26" i="4"/>
  <c r="J31" i="4"/>
  <c r="J32" i="4"/>
  <c r="H45" i="4"/>
  <c r="J29" i="4"/>
  <c r="G834" i="18"/>
  <c r="G1289" i="18"/>
  <c r="G1332" i="18"/>
  <c r="G1331" i="18"/>
  <c r="G1251" i="18"/>
  <c r="H1009" i="18"/>
  <c r="H1025" i="18" s="1"/>
  <c r="G1288" i="18"/>
  <c r="G1250" i="18"/>
  <c r="H1007" i="18"/>
  <c r="H1023" i="18" s="1"/>
  <c r="H1008" i="18"/>
  <c r="H1024" i="18" s="1"/>
  <c r="G531" i="18"/>
  <c r="G886" i="18"/>
  <c r="G1065" i="18"/>
  <c r="G879" i="18"/>
  <c r="G889" i="18"/>
  <c r="G895" i="18" s="1"/>
  <c r="G1068" i="18"/>
  <c r="H1185" i="18"/>
  <c r="G880" i="18"/>
  <c r="G891" i="18"/>
  <c r="G896" i="18" s="1"/>
  <c r="G1066" i="18"/>
  <c r="G1104" i="18"/>
  <c r="G650" i="18"/>
  <c r="G1062" i="18"/>
  <c r="G1072" i="18"/>
  <c r="G1078" i="18" s="1"/>
  <c r="G535" i="18"/>
  <c r="G676" i="18"/>
  <c r="G608" i="18"/>
  <c r="G610" i="18" s="1"/>
  <c r="G1069" i="18"/>
  <c r="G347" i="18"/>
  <c r="G532" i="18"/>
  <c r="G1070" i="18"/>
  <c r="G9" i="18"/>
  <c r="G374" i="18"/>
  <c r="G536" i="18"/>
  <c r="G534" i="18"/>
  <c r="G444" i="18"/>
  <c r="G530" i="18"/>
  <c r="G703" i="18"/>
  <c r="G771" i="18"/>
  <c r="G885" i="18"/>
  <c r="G958" i="18"/>
  <c r="G416" i="18"/>
  <c r="G677" i="18"/>
  <c r="G740" i="18"/>
  <c r="G887" i="18"/>
  <c r="G1064" i="18"/>
  <c r="G1167" i="18"/>
  <c r="G487" i="18"/>
  <c r="G883" i="18"/>
  <c r="G881" i="18"/>
  <c r="G959" i="18"/>
  <c r="G1142" i="18"/>
  <c r="G528" i="18"/>
  <c r="G538" i="18"/>
  <c r="G544" i="18" s="1"/>
  <c r="G649" i="18"/>
  <c r="G346" i="18"/>
  <c r="G488" i="18"/>
  <c r="G798" i="18"/>
  <c r="G922" i="18"/>
  <c r="G984" i="18"/>
  <c r="G1168" i="18"/>
  <c r="G882" i="18"/>
  <c r="G921" i="18"/>
  <c r="G1105" i="18"/>
  <c r="G417" i="18"/>
  <c r="G772" i="18"/>
  <c r="G799" i="18"/>
  <c r="G1063" i="18"/>
  <c r="G1074" i="18"/>
  <c r="G1079" i="18" s="1"/>
  <c r="H1202" i="18"/>
  <c r="G704" i="18"/>
  <c r="H1211" i="18"/>
  <c r="G124" i="12" s="1"/>
  <c r="H1028" i="18"/>
  <c r="G119" i="12" s="1"/>
  <c r="H1206" i="18"/>
  <c r="H1029" i="18"/>
  <c r="G120" i="12" s="1"/>
  <c r="H1212" i="18"/>
  <c r="G125" i="12" s="1"/>
  <c r="G373" i="18"/>
  <c r="G443" i="18"/>
  <c r="G529" i="18"/>
  <c r="G540" i="18"/>
  <c r="G545" i="18" s="1"/>
  <c r="G985" i="18"/>
  <c r="G1141" i="18"/>
  <c r="H1030" i="18"/>
  <c r="G121" i="12" s="1"/>
  <c r="H1213" i="18"/>
  <c r="G126" i="12" s="1"/>
  <c r="H1208" i="18"/>
  <c r="H611" i="18"/>
  <c r="H619" i="18"/>
  <c r="H1189" i="18"/>
  <c r="H1195" i="18"/>
  <c r="H1006" i="18"/>
  <c r="H1022" i="18" s="1"/>
  <c r="H1186" i="18"/>
  <c r="H1196" i="18"/>
  <c r="H1187" i="18"/>
  <c r="F918" i="7"/>
  <c r="F917" i="7"/>
  <c r="F916" i="7"/>
  <c r="F915" i="7"/>
  <c r="F923" i="7"/>
  <c r="F922" i="7"/>
  <c r="F921" i="7"/>
  <c r="F920" i="7"/>
  <c r="H908" i="7"/>
  <c r="F908" i="7"/>
  <c r="H882" i="7"/>
  <c r="F882" i="7"/>
  <c r="H838" i="7"/>
  <c r="G838" i="7"/>
  <c r="G843" i="7" s="1"/>
  <c r="F838" i="7"/>
  <c r="H836" i="7"/>
  <c r="G836" i="7"/>
  <c r="G842" i="7" s="1"/>
  <c r="F836" i="7"/>
  <c r="H834" i="7"/>
  <c r="G834" i="7"/>
  <c r="F834" i="7"/>
  <c r="H833" i="7"/>
  <c r="G833" i="7"/>
  <c r="F833" i="7"/>
  <c r="H832" i="7"/>
  <c r="G832" i="7"/>
  <c r="F832" i="7"/>
  <c r="H830" i="7"/>
  <c r="G830" i="7"/>
  <c r="F830" i="7"/>
  <c r="H829" i="7"/>
  <c r="G829" i="7"/>
  <c r="F829" i="7"/>
  <c r="H828" i="7"/>
  <c r="G828" i="7"/>
  <c r="F828" i="7"/>
  <c r="H827" i="7"/>
  <c r="G827" i="7"/>
  <c r="F827" i="7"/>
  <c r="H826" i="7"/>
  <c r="G826" i="7"/>
  <c r="F826" i="7"/>
  <c r="H913" i="7"/>
  <c r="H923" i="7" s="1"/>
  <c r="H912" i="7"/>
  <c r="H922" i="7" s="1"/>
  <c r="H911" i="7"/>
  <c r="H921" i="7" s="1"/>
  <c r="H910" i="7"/>
  <c r="H920" i="7" s="1"/>
  <c r="H901" i="7"/>
  <c r="G901" i="7"/>
  <c r="G906" i="7" s="1"/>
  <c r="F901" i="7"/>
  <c r="H899" i="7"/>
  <c r="G899" i="7"/>
  <c r="G905" i="7" s="1"/>
  <c r="F899" i="7"/>
  <c r="H897" i="7"/>
  <c r="G897" i="7"/>
  <c r="F897" i="7"/>
  <c r="H896" i="7"/>
  <c r="G896" i="7"/>
  <c r="F896" i="7"/>
  <c r="H895" i="7"/>
  <c r="G895" i="7"/>
  <c r="F895" i="7"/>
  <c r="H893" i="7"/>
  <c r="G893" i="7"/>
  <c r="F893" i="7"/>
  <c r="H892" i="7"/>
  <c r="G892" i="7"/>
  <c r="F892" i="7"/>
  <c r="H891" i="7"/>
  <c r="G891" i="7"/>
  <c r="F891" i="7"/>
  <c r="H890" i="7"/>
  <c r="G890" i="7"/>
  <c r="F890" i="7"/>
  <c r="H889" i="7"/>
  <c r="G889" i="7"/>
  <c r="F889" i="7"/>
  <c r="H887" i="7"/>
  <c r="H918" i="7" s="1"/>
  <c r="H886" i="7"/>
  <c r="H917" i="7" s="1"/>
  <c r="H885" i="7"/>
  <c r="H916" i="7" s="1"/>
  <c r="H884" i="7"/>
  <c r="H915" i="7" s="1"/>
  <c r="H875" i="7"/>
  <c r="G875" i="7"/>
  <c r="G880" i="7" s="1"/>
  <c r="F875" i="7"/>
  <c r="H873" i="7"/>
  <c r="G873" i="7"/>
  <c r="G879" i="7" s="1"/>
  <c r="F873" i="7"/>
  <c r="H871" i="7"/>
  <c r="G871" i="7"/>
  <c r="F871" i="7"/>
  <c r="H870" i="7"/>
  <c r="G870" i="7"/>
  <c r="F870" i="7"/>
  <c r="H869" i="7"/>
  <c r="G869" i="7"/>
  <c r="F869" i="7"/>
  <c r="H867" i="7"/>
  <c r="G867" i="7"/>
  <c r="F867" i="7"/>
  <c r="H866" i="7"/>
  <c r="G866" i="7"/>
  <c r="F866" i="7"/>
  <c r="H865" i="7"/>
  <c r="G865" i="7"/>
  <c r="F865" i="7"/>
  <c r="H864" i="7"/>
  <c r="G864" i="7"/>
  <c r="F864" i="7"/>
  <c r="H863" i="7"/>
  <c r="G863" i="7"/>
  <c r="F863" i="7"/>
  <c r="H850" i="7"/>
  <c r="H939" i="7" s="1"/>
  <c r="H849" i="7"/>
  <c r="H938" i="7" s="1"/>
  <c r="H848" i="7"/>
  <c r="H937" i="7" s="1"/>
  <c r="H847" i="7"/>
  <c r="H936" i="7" s="1"/>
  <c r="H822" i="7"/>
  <c r="H934" i="7" s="1"/>
  <c r="H821" i="7"/>
  <c r="H933" i="7" s="1"/>
  <c r="H820" i="7"/>
  <c r="H932" i="7" s="1"/>
  <c r="H819" i="7"/>
  <c r="H931" i="7" s="1"/>
  <c r="H738" i="7"/>
  <c r="F738" i="7"/>
  <c r="H737" i="7"/>
  <c r="F737" i="7"/>
  <c r="H736" i="7"/>
  <c r="F736" i="7"/>
  <c r="H735" i="7"/>
  <c r="F735" i="7"/>
  <c r="H733" i="7"/>
  <c r="F733" i="7"/>
  <c r="H732" i="7"/>
  <c r="F732" i="7"/>
  <c r="H731" i="7"/>
  <c r="F731" i="7"/>
  <c r="H730" i="7"/>
  <c r="F730" i="7"/>
  <c r="H722" i="7"/>
  <c r="F722" i="7"/>
  <c r="H695" i="7"/>
  <c r="F695" i="7"/>
  <c r="H668" i="7"/>
  <c r="F668" i="7"/>
  <c r="H660" i="7"/>
  <c r="F660" i="7"/>
  <c r="H659" i="7"/>
  <c r="F659" i="7"/>
  <c r="H743" i="7"/>
  <c r="G62" i="12" s="1"/>
  <c r="H742" i="7"/>
  <c r="G61" i="12" s="1"/>
  <c r="H741" i="7"/>
  <c r="G60" i="12" s="1"/>
  <c r="H740" i="7"/>
  <c r="G59" i="12" s="1"/>
  <c r="H715" i="7"/>
  <c r="G715" i="7"/>
  <c r="G720" i="7" s="1"/>
  <c r="F715" i="7"/>
  <c r="H713" i="7"/>
  <c r="G713" i="7"/>
  <c r="G719" i="7" s="1"/>
  <c r="F713" i="7"/>
  <c r="H711" i="7"/>
  <c r="G711" i="7"/>
  <c r="F711" i="7"/>
  <c r="H710" i="7"/>
  <c r="G710" i="7"/>
  <c r="F710" i="7"/>
  <c r="H709" i="7"/>
  <c r="G709" i="7"/>
  <c r="F709" i="7"/>
  <c r="H707" i="7"/>
  <c r="G707" i="7"/>
  <c r="F707" i="7"/>
  <c r="H706" i="7"/>
  <c r="G706" i="7"/>
  <c r="F706" i="7"/>
  <c r="H705" i="7"/>
  <c r="G705" i="7"/>
  <c r="F705" i="7"/>
  <c r="H704" i="7"/>
  <c r="G704" i="7"/>
  <c r="F704" i="7"/>
  <c r="H703" i="7"/>
  <c r="G703" i="7"/>
  <c r="F703" i="7"/>
  <c r="H688" i="7"/>
  <c r="G688" i="7"/>
  <c r="G693" i="7" s="1"/>
  <c r="F688" i="7"/>
  <c r="H686" i="7"/>
  <c r="G686" i="7"/>
  <c r="G692" i="7" s="1"/>
  <c r="F686" i="7"/>
  <c r="H684" i="7"/>
  <c r="G684" i="7"/>
  <c r="F684" i="7"/>
  <c r="H683" i="7"/>
  <c r="G683" i="7"/>
  <c r="F683" i="7"/>
  <c r="H682" i="7"/>
  <c r="G682" i="7"/>
  <c r="F682" i="7"/>
  <c r="H680" i="7"/>
  <c r="G680" i="7"/>
  <c r="F680" i="7"/>
  <c r="H679" i="7"/>
  <c r="G679" i="7"/>
  <c r="F679" i="7"/>
  <c r="H678" i="7"/>
  <c r="G678" i="7"/>
  <c r="F678" i="7"/>
  <c r="H677" i="7"/>
  <c r="G677" i="7"/>
  <c r="F677" i="7"/>
  <c r="H676" i="7"/>
  <c r="G676" i="7"/>
  <c r="F676" i="7"/>
  <c r="H669" i="7"/>
  <c r="G669" i="7"/>
  <c r="F669" i="7"/>
  <c r="H667" i="7"/>
  <c r="F667" i="7"/>
  <c r="H661" i="7"/>
  <c r="G661" i="7"/>
  <c r="F661" i="7"/>
  <c r="J24" i="4" l="1"/>
  <c r="J26" i="4" s="1"/>
  <c r="H26" i="4"/>
  <c r="H25" i="4"/>
  <c r="G82" i="18"/>
  <c r="G104" i="18" s="1"/>
  <c r="G79" i="18"/>
  <c r="G277" i="18" s="1"/>
  <c r="G78" i="18"/>
  <c r="G1077" i="18"/>
  <c r="G543" i="18"/>
  <c r="G894" i="18"/>
  <c r="G893" i="18"/>
  <c r="G63" i="18"/>
  <c r="G71" i="18"/>
  <c r="G749" i="18" s="1"/>
  <c r="G1076" i="18"/>
  <c r="G542" i="18"/>
  <c r="G86" i="18"/>
  <c r="G828" i="18" s="1"/>
  <c r="G87" i="18"/>
  <c r="G839" i="18" s="1"/>
  <c r="H1027" i="18"/>
  <c r="G118" i="12" s="1"/>
  <c r="H1210" i="18"/>
  <c r="G123" i="12" s="1"/>
  <c r="H1205" i="18"/>
  <c r="G841" i="7"/>
  <c r="G878" i="7"/>
  <c r="G804" i="7"/>
  <c r="G904" i="7"/>
  <c r="G718" i="7"/>
  <c r="G798" i="7"/>
  <c r="G903" i="7"/>
  <c r="G691" i="7"/>
  <c r="G840" i="7"/>
  <c r="G806" i="7"/>
  <c r="G877" i="7"/>
  <c r="G801" i="7"/>
  <c r="G799" i="7"/>
  <c r="G810" i="7"/>
  <c r="G815" i="7" s="1"/>
  <c r="G805" i="7"/>
  <c r="G802" i="7"/>
  <c r="G800" i="7"/>
  <c r="G808" i="7"/>
  <c r="G814" i="7" s="1"/>
  <c r="G717" i="7"/>
  <c r="G690" i="7"/>
  <c r="G659" i="7"/>
  <c r="F546" i="7"/>
  <c r="F538" i="7"/>
  <c r="F530" i="7"/>
  <c r="H508" i="7"/>
  <c r="H538" i="7" s="1"/>
  <c r="H506" i="7"/>
  <c r="F506" i="7"/>
  <c r="H505" i="7"/>
  <c r="F505" i="7"/>
  <c r="H367" i="7"/>
  <c r="F367" i="7"/>
  <c r="F297" i="7"/>
  <c r="H186" i="7"/>
  <c r="H185" i="7"/>
  <c r="H184" i="7"/>
  <c r="H183" i="7"/>
  <c r="H270" i="7" s="1"/>
  <c r="H179" i="7"/>
  <c r="F179" i="7"/>
  <c r="H178" i="7"/>
  <c r="F178" i="7"/>
  <c r="H177" i="7"/>
  <c r="F177" i="7"/>
  <c r="H176" i="7"/>
  <c r="F176" i="7"/>
  <c r="H174" i="7"/>
  <c r="F174" i="7"/>
  <c r="H173" i="7"/>
  <c r="F173" i="7"/>
  <c r="H172" i="7"/>
  <c r="F172" i="7"/>
  <c r="H171" i="7"/>
  <c r="F171" i="7"/>
  <c r="G92" i="18" l="1"/>
  <c r="G99" i="18" s="1"/>
  <c r="G94" i="18"/>
  <c r="G93" i="18"/>
  <c r="G235" i="18"/>
  <c r="G212" i="18"/>
  <c r="G124" i="18"/>
  <c r="G100" i="18"/>
  <c r="G102" i="18" s="1"/>
  <c r="G106" i="18" s="1"/>
  <c r="G813" i="7"/>
  <c r="G812" i="7"/>
  <c r="H530" i="7"/>
  <c r="H546" i="7"/>
  <c r="H297" i="7"/>
  <c r="G129" i="18" l="1"/>
  <c r="G1303" i="18" s="1"/>
  <c r="G627" i="18"/>
  <c r="G274" i="18"/>
  <c r="G618" i="18"/>
  <c r="G128" i="18"/>
  <c r="G1230" i="18" s="1"/>
  <c r="G126" i="18"/>
  <c r="G1228" i="18" s="1"/>
  <c r="G127" i="18"/>
  <c r="G1229" i="18" s="1"/>
  <c r="G748" i="18"/>
  <c r="G626" i="18"/>
  <c r="H290" i="7"/>
  <c r="G290" i="7"/>
  <c r="F290" i="7"/>
  <c r="H289" i="7"/>
  <c r="G289" i="7"/>
  <c r="F289" i="7"/>
  <c r="H288" i="7"/>
  <c r="G288" i="7"/>
  <c r="F288" i="7"/>
  <c r="H287" i="7"/>
  <c r="G287" i="7"/>
  <c r="F287" i="7"/>
  <c r="H286" i="7"/>
  <c r="G286" i="7"/>
  <c r="F286" i="7"/>
  <c r="H285" i="7"/>
  <c r="G285" i="7"/>
  <c r="F285" i="7"/>
  <c r="H284" i="7"/>
  <c r="G284" i="7"/>
  <c r="F284" i="7"/>
  <c r="H283" i="7"/>
  <c r="G283" i="7"/>
  <c r="F283" i="7"/>
  <c r="H282" i="7"/>
  <c r="G282" i="7"/>
  <c r="F282" i="7"/>
  <c r="H281" i="7"/>
  <c r="G281" i="7"/>
  <c r="F281" i="7"/>
  <c r="H280" i="7"/>
  <c r="G280" i="7"/>
  <c r="F280" i="7"/>
  <c r="H279" i="7"/>
  <c r="G279" i="7"/>
  <c r="F279" i="7"/>
  <c r="H278" i="7"/>
  <c r="G278" i="7"/>
  <c r="F278" i="7"/>
  <c r="G23" i="18"/>
  <c r="G69" i="18" s="1"/>
  <c r="G115" i="18" s="1"/>
  <c r="G22" i="18"/>
  <c r="G68" i="18" s="1"/>
  <c r="G114" i="18" s="1"/>
  <c r="G21" i="18"/>
  <c r="G67" i="18" s="1"/>
  <c r="G20" i="18"/>
  <c r="G66" i="18" s="1"/>
  <c r="G112" i="18" s="1"/>
  <c r="G1231" i="18" l="1"/>
  <c r="G113" i="18"/>
  <c r="G1218" i="18"/>
  <c r="G1233" i="18"/>
  <c r="G1272" i="18" s="1"/>
  <c r="F1127" i="7"/>
  <c r="F1126" i="7"/>
  <c r="F1125" i="7"/>
  <c r="F1124" i="7"/>
  <c r="F1122" i="7"/>
  <c r="F1121" i="7"/>
  <c r="F1120" i="7"/>
  <c r="F1119" i="7"/>
  <c r="F1117" i="7"/>
  <c r="F1116" i="7"/>
  <c r="F1115" i="7"/>
  <c r="F1114" i="7"/>
  <c r="F1106" i="7"/>
  <c r="F1105" i="7"/>
  <c r="F1104" i="7"/>
  <c r="F1103" i="7"/>
  <c r="F1101" i="7"/>
  <c r="F1100" i="7"/>
  <c r="F1099" i="7"/>
  <c r="F1098" i="7"/>
  <c r="H1091" i="7"/>
  <c r="F1091" i="7"/>
  <c r="H1096" i="7"/>
  <c r="H1095" i="7"/>
  <c r="H1094" i="7"/>
  <c r="H1093" i="7"/>
  <c r="H1084" i="7"/>
  <c r="G1084" i="7"/>
  <c r="G1089" i="7" s="1"/>
  <c r="F1084" i="7"/>
  <c r="H1082" i="7"/>
  <c r="G1082" i="7"/>
  <c r="G1088" i="7" s="1"/>
  <c r="F1082" i="7"/>
  <c r="H1080" i="7"/>
  <c r="G1080" i="7"/>
  <c r="F1080" i="7"/>
  <c r="H1079" i="7"/>
  <c r="G1079" i="7"/>
  <c r="F1079" i="7"/>
  <c r="H1078" i="7"/>
  <c r="G1078" i="7"/>
  <c r="F1078" i="7"/>
  <c r="H1076" i="7"/>
  <c r="G1076" i="7"/>
  <c r="F1076" i="7"/>
  <c r="H1075" i="7"/>
  <c r="G1075" i="7"/>
  <c r="F1075" i="7"/>
  <c r="H1074" i="7"/>
  <c r="G1074" i="7"/>
  <c r="F1074" i="7"/>
  <c r="H1073" i="7"/>
  <c r="G1073" i="7"/>
  <c r="F1073" i="7"/>
  <c r="H1072" i="7"/>
  <c r="G1072" i="7"/>
  <c r="F1072" i="7"/>
  <c r="H1070" i="7"/>
  <c r="H1101" i="7" s="1"/>
  <c r="H1069" i="7"/>
  <c r="H1100" i="7" s="1"/>
  <c r="H1068" i="7"/>
  <c r="H1099" i="7" s="1"/>
  <c r="H1067" i="7"/>
  <c r="H1098" i="7" s="1"/>
  <c r="H1065" i="7"/>
  <c r="F1065" i="7"/>
  <c r="H1033" i="7"/>
  <c r="H1032" i="7"/>
  <c r="H1031" i="7"/>
  <c r="H1030" i="7"/>
  <c r="H1005" i="7"/>
  <c r="H1004" i="7"/>
  <c r="H1003" i="7"/>
  <c r="H1002" i="7"/>
  <c r="H1058" i="7"/>
  <c r="G1058" i="7"/>
  <c r="G1063" i="7" s="1"/>
  <c r="F1058" i="7"/>
  <c r="H1056" i="7"/>
  <c r="G1056" i="7"/>
  <c r="G1062" i="7" s="1"/>
  <c r="F1056" i="7"/>
  <c r="H1054" i="7"/>
  <c r="G1054" i="7"/>
  <c r="F1054" i="7"/>
  <c r="H1053" i="7"/>
  <c r="G1053" i="7"/>
  <c r="F1053" i="7"/>
  <c r="H1052" i="7"/>
  <c r="G1052" i="7"/>
  <c r="F1052" i="7"/>
  <c r="H1050" i="7"/>
  <c r="G1050" i="7"/>
  <c r="F1050" i="7"/>
  <c r="H1049" i="7"/>
  <c r="G1049" i="7"/>
  <c r="F1049" i="7"/>
  <c r="H1048" i="7"/>
  <c r="G1048" i="7"/>
  <c r="F1048" i="7"/>
  <c r="H1047" i="7"/>
  <c r="G1047" i="7"/>
  <c r="F1047" i="7"/>
  <c r="H1046" i="7"/>
  <c r="G1046" i="7"/>
  <c r="F1046" i="7"/>
  <c r="H1039" i="7"/>
  <c r="G1039" i="7"/>
  <c r="F1039" i="7"/>
  <c r="H1038" i="7"/>
  <c r="G1038" i="7"/>
  <c r="F1038" i="7"/>
  <c r="H1028" i="7"/>
  <c r="F1028" i="7"/>
  <c r="H1021" i="7"/>
  <c r="G1021" i="7"/>
  <c r="G1026" i="7" s="1"/>
  <c r="F1021" i="7"/>
  <c r="H1019" i="7"/>
  <c r="G1019" i="7"/>
  <c r="G1025" i="7" s="1"/>
  <c r="F1019" i="7"/>
  <c r="H1017" i="7"/>
  <c r="G1017" i="7"/>
  <c r="F1017" i="7"/>
  <c r="H1016" i="7"/>
  <c r="G1016" i="7"/>
  <c r="F1016" i="7"/>
  <c r="H1015" i="7"/>
  <c r="G1015" i="7"/>
  <c r="F1015" i="7"/>
  <c r="H1013" i="7"/>
  <c r="G1013" i="7"/>
  <c r="F1013" i="7"/>
  <c r="H1012" i="7"/>
  <c r="G1012" i="7"/>
  <c r="F1012" i="7"/>
  <c r="H1011" i="7"/>
  <c r="G1011" i="7"/>
  <c r="F1011" i="7"/>
  <c r="H1010" i="7"/>
  <c r="G1010" i="7"/>
  <c r="F1010" i="7"/>
  <c r="H1009" i="7"/>
  <c r="G1009" i="7"/>
  <c r="F1009" i="7"/>
  <c r="G986" i="7"/>
  <c r="G990" i="7"/>
  <c r="G992" i="7"/>
  <c r="H979" i="7"/>
  <c r="G979" i="7"/>
  <c r="F979" i="7"/>
  <c r="H977" i="7"/>
  <c r="G977" i="7"/>
  <c r="F977" i="7"/>
  <c r="H975" i="7"/>
  <c r="G975" i="7"/>
  <c r="F975" i="7"/>
  <c r="H974" i="7"/>
  <c r="G974" i="7"/>
  <c r="F974" i="7"/>
  <c r="H973" i="7"/>
  <c r="G973" i="7"/>
  <c r="F973" i="7"/>
  <c r="H971" i="7"/>
  <c r="G971" i="7"/>
  <c r="F971" i="7"/>
  <c r="H970" i="7"/>
  <c r="G970" i="7"/>
  <c r="F970" i="7"/>
  <c r="H969" i="7"/>
  <c r="G969" i="7"/>
  <c r="F969" i="7"/>
  <c r="H968" i="7"/>
  <c r="G968" i="7"/>
  <c r="F968" i="7"/>
  <c r="H967" i="7"/>
  <c r="G967" i="7"/>
  <c r="F967" i="7"/>
  <c r="H965" i="7"/>
  <c r="G965" i="7"/>
  <c r="F965" i="7"/>
  <c r="H963" i="7"/>
  <c r="G963" i="7"/>
  <c r="F963" i="7"/>
  <c r="H961" i="7"/>
  <c r="G961" i="7"/>
  <c r="F961" i="7"/>
  <c r="H960" i="7"/>
  <c r="G960" i="7"/>
  <c r="F960" i="7"/>
  <c r="H959" i="7"/>
  <c r="G959" i="7"/>
  <c r="F959" i="7"/>
  <c r="H957" i="7"/>
  <c r="G957" i="7"/>
  <c r="F957" i="7"/>
  <c r="H956" i="7"/>
  <c r="G956" i="7"/>
  <c r="F956" i="7"/>
  <c r="H955" i="7"/>
  <c r="G955" i="7"/>
  <c r="F955" i="7"/>
  <c r="H954" i="7"/>
  <c r="G954" i="7"/>
  <c r="F954" i="7"/>
  <c r="H953" i="7"/>
  <c r="G953" i="7"/>
  <c r="F953" i="7"/>
  <c r="H759" i="7"/>
  <c r="F759" i="7"/>
  <c r="H758" i="7"/>
  <c r="F758" i="7"/>
  <c r="H747" i="7"/>
  <c r="F747" i="7"/>
  <c r="H748" i="7"/>
  <c r="F748" i="7"/>
  <c r="H106" i="7"/>
  <c r="F106" i="7"/>
  <c r="H653" i="7"/>
  <c r="G57" i="12" s="1"/>
  <c r="H652" i="7"/>
  <c r="G56" i="12" s="1"/>
  <c r="H651" i="7"/>
  <c r="G55" i="12" s="1"/>
  <c r="H650" i="7"/>
  <c r="G54" i="12" s="1"/>
  <c r="H648" i="7"/>
  <c r="F648" i="7"/>
  <c r="H647" i="7"/>
  <c r="F647" i="7"/>
  <c r="H646" i="7"/>
  <c r="F646" i="7"/>
  <c r="H645" i="7"/>
  <c r="F645" i="7"/>
  <c r="H643" i="7"/>
  <c r="F643" i="7"/>
  <c r="H642" i="7"/>
  <c r="F642" i="7"/>
  <c r="H641" i="7"/>
  <c r="F641" i="7"/>
  <c r="H640" i="7"/>
  <c r="F640" i="7"/>
  <c r="H638" i="7"/>
  <c r="F638" i="7"/>
  <c r="H637" i="7"/>
  <c r="F637" i="7"/>
  <c r="H636" i="7"/>
  <c r="F636" i="7"/>
  <c r="H635" i="7"/>
  <c r="F635" i="7"/>
  <c r="H627" i="7"/>
  <c r="F627" i="7"/>
  <c r="H620" i="7"/>
  <c r="G620" i="7"/>
  <c r="G625" i="7" s="1"/>
  <c r="F620" i="7"/>
  <c r="H618" i="7"/>
  <c r="G618" i="7"/>
  <c r="G624" i="7" s="1"/>
  <c r="F618" i="7"/>
  <c r="H616" i="7"/>
  <c r="G616" i="7"/>
  <c r="F616" i="7"/>
  <c r="H615" i="7"/>
  <c r="G615" i="7"/>
  <c r="F615" i="7"/>
  <c r="H614" i="7"/>
  <c r="G614" i="7"/>
  <c r="F614" i="7"/>
  <c r="H612" i="7"/>
  <c r="G612" i="7"/>
  <c r="F612" i="7"/>
  <c r="H611" i="7"/>
  <c r="G611" i="7"/>
  <c r="F611" i="7"/>
  <c r="H610" i="7"/>
  <c r="G610" i="7"/>
  <c r="F610" i="7"/>
  <c r="H609" i="7"/>
  <c r="G609" i="7"/>
  <c r="F609" i="7"/>
  <c r="H608" i="7"/>
  <c r="G608" i="7"/>
  <c r="F608" i="7"/>
  <c r="H600" i="7"/>
  <c r="F600" i="7"/>
  <c r="H593" i="7"/>
  <c r="G593" i="7"/>
  <c r="G598" i="7" s="1"/>
  <c r="F593" i="7"/>
  <c r="H591" i="7"/>
  <c r="G591" i="7"/>
  <c r="G597" i="7" s="1"/>
  <c r="F591" i="7"/>
  <c r="H589" i="7"/>
  <c r="G589" i="7"/>
  <c r="F589" i="7"/>
  <c r="H588" i="7"/>
  <c r="G588" i="7"/>
  <c r="F588" i="7"/>
  <c r="H587" i="7"/>
  <c r="G587" i="7"/>
  <c r="F587" i="7"/>
  <c r="H585" i="7"/>
  <c r="G585" i="7"/>
  <c r="F585" i="7"/>
  <c r="H584" i="7"/>
  <c r="G584" i="7"/>
  <c r="F584" i="7"/>
  <c r="H583" i="7"/>
  <c r="G583" i="7"/>
  <c r="F583" i="7"/>
  <c r="H582" i="7"/>
  <c r="G582" i="7"/>
  <c r="F582" i="7"/>
  <c r="H581" i="7"/>
  <c r="G581" i="7"/>
  <c r="F581" i="7"/>
  <c r="H547" i="7"/>
  <c r="G547" i="7"/>
  <c r="F547" i="7"/>
  <c r="H539" i="7"/>
  <c r="G539" i="7"/>
  <c r="F539" i="7"/>
  <c r="H545" i="7"/>
  <c r="F545" i="7"/>
  <c r="H537" i="7"/>
  <c r="F537" i="7"/>
  <c r="F38" i="7"/>
  <c r="G15" i="7"/>
  <c r="F15" i="7"/>
  <c r="G16" i="18"/>
  <c r="G64" i="18" s="1"/>
  <c r="H573" i="7"/>
  <c r="F573" i="7"/>
  <c r="H531" i="7"/>
  <c r="G531" i="7"/>
  <c r="F531" i="7"/>
  <c r="H529" i="7"/>
  <c r="F529" i="7"/>
  <c r="H566" i="7"/>
  <c r="G566" i="7"/>
  <c r="G571" i="7" s="1"/>
  <c r="F566" i="7"/>
  <c r="H564" i="7"/>
  <c r="G564" i="7"/>
  <c r="G570" i="7" s="1"/>
  <c r="F564" i="7"/>
  <c r="H562" i="7"/>
  <c r="G562" i="7"/>
  <c r="F562" i="7"/>
  <c r="H561" i="7"/>
  <c r="G561" i="7"/>
  <c r="F561" i="7"/>
  <c r="H560" i="7"/>
  <c r="G560" i="7"/>
  <c r="F560" i="7"/>
  <c r="H558" i="7"/>
  <c r="G558" i="7"/>
  <c r="F558" i="7"/>
  <c r="H557" i="7"/>
  <c r="G557" i="7"/>
  <c r="F557" i="7"/>
  <c r="H556" i="7"/>
  <c r="G556" i="7"/>
  <c r="F556" i="7"/>
  <c r="H555" i="7"/>
  <c r="G555" i="7"/>
  <c r="F555" i="7"/>
  <c r="H554" i="7"/>
  <c r="G554" i="7"/>
  <c r="F554" i="7"/>
  <c r="H525" i="7"/>
  <c r="G525" i="7"/>
  <c r="F525" i="7"/>
  <c r="H524" i="7"/>
  <c r="G524" i="7"/>
  <c r="F524" i="7"/>
  <c r="H523" i="7"/>
  <c r="G523" i="7"/>
  <c r="F523" i="7"/>
  <c r="H521" i="7"/>
  <c r="G521" i="7"/>
  <c r="F521" i="7"/>
  <c r="H520" i="7"/>
  <c r="G520" i="7"/>
  <c r="F520" i="7"/>
  <c r="H519" i="7"/>
  <c r="G519" i="7"/>
  <c r="F519" i="7"/>
  <c r="G27" i="18"/>
  <c r="G75" i="18" s="1"/>
  <c r="G273" i="18" s="1"/>
  <c r="F20" i="1"/>
  <c r="G232" i="18" s="1"/>
  <c r="G28" i="18" l="1"/>
  <c r="G76" i="18" s="1"/>
  <c r="G275" i="18" s="1"/>
  <c r="G36" i="18"/>
  <c r="G84" i="18" s="1"/>
  <c r="G133" i="18" s="1"/>
  <c r="G1264" i="18"/>
  <c r="G155" i="18"/>
  <c r="G1217" i="18"/>
  <c r="G91" i="18"/>
  <c r="G132" i="18"/>
  <c r="G110" i="18"/>
  <c r="H1121" i="7"/>
  <c r="H1105" i="7"/>
  <c r="H927" i="7"/>
  <c r="H943" i="7" s="1"/>
  <c r="H1122" i="7"/>
  <c r="H1111" i="7"/>
  <c r="H928" i="7"/>
  <c r="H944" i="7" s="1"/>
  <c r="H1114" i="7"/>
  <c r="H1115" i="7"/>
  <c r="H1116" i="7"/>
  <c r="H1117" i="7"/>
  <c r="H1119" i="7"/>
  <c r="H1103" i="7"/>
  <c r="H925" i="7"/>
  <c r="H941" i="7" s="1"/>
  <c r="H1120" i="7"/>
  <c r="H1109" i="7"/>
  <c r="H926" i="7"/>
  <c r="H942" i="7" s="1"/>
  <c r="G988" i="7"/>
  <c r="H1110" i="7"/>
  <c r="H1108" i="7"/>
  <c r="G1087" i="7"/>
  <c r="G1061" i="7"/>
  <c r="G1060" i="7"/>
  <c r="G1086" i="7"/>
  <c r="H1106" i="7"/>
  <c r="H1104" i="7"/>
  <c r="G1024" i="7"/>
  <c r="G1023" i="7"/>
  <c r="G981" i="7"/>
  <c r="G991" i="7"/>
  <c r="G997" i="7" s="1"/>
  <c r="G987" i="7"/>
  <c r="G983" i="7"/>
  <c r="G984" i="7"/>
  <c r="G982" i="7"/>
  <c r="G993" i="7"/>
  <c r="G998" i="7" s="1"/>
  <c r="G985" i="7"/>
  <c r="G989" i="7"/>
  <c r="G595" i="7"/>
  <c r="G596" i="7"/>
  <c r="G623" i="7"/>
  <c r="G622" i="7"/>
  <c r="G568" i="7"/>
  <c r="G569" i="7"/>
  <c r="G527" i="7"/>
  <c r="H383" i="7"/>
  <c r="F383" i="7"/>
  <c r="H382" i="7"/>
  <c r="F382" i="7"/>
  <c r="H381" i="7"/>
  <c r="F381" i="7"/>
  <c r="H380" i="7"/>
  <c r="F380" i="7"/>
  <c r="H378" i="7"/>
  <c r="F378" i="7"/>
  <c r="H377" i="7"/>
  <c r="F377" i="7"/>
  <c r="H376" i="7"/>
  <c r="F376" i="7"/>
  <c r="H375" i="7"/>
  <c r="F375" i="7"/>
  <c r="H318" i="7"/>
  <c r="G42" i="12" s="1"/>
  <c r="H317" i="7"/>
  <c r="G41" i="12" s="1"/>
  <c r="H316" i="7"/>
  <c r="G40" i="12" s="1"/>
  <c r="H315" i="7"/>
  <c r="G39" i="12" s="1"/>
  <c r="H313" i="7"/>
  <c r="F313" i="7"/>
  <c r="H312" i="7"/>
  <c r="F312" i="7"/>
  <c r="H311" i="7"/>
  <c r="F311" i="7"/>
  <c r="H310" i="7"/>
  <c r="F310" i="7"/>
  <c r="H308" i="7"/>
  <c r="F308" i="7"/>
  <c r="H307" i="7"/>
  <c r="F307" i="7"/>
  <c r="H306" i="7"/>
  <c r="F306" i="7"/>
  <c r="H305" i="7"/>
  <c r="F305" i="7"/>
  <c r="G365" i="7"/>
  <c r="G364" i="7"/>
  <c r="H340" i="7"/>
  <c r="F340" i="7"/>
  <c r="H333" i="7"/>
  <c r="G333" i="7"/>
  <c r="G338" i="7" s="1"/>
  <c r="F333" i="7"/>
  <c r="H331" i="7"/>
  <c r="G331" i="7"/>
  <c r="G337" i="7" s="1"/>
  <c r="F331" i="7"/>
  <c r="H329" i="7"/>
  <c r="G329" i="7"/>
  <c r="F329" i="7"/>
  <c r="H328" i="7"/>
  <c r="G328" i="7"/>
  <c r="F328" i="7"/>
  <c r="H327" i="7"/>
  <c r="G327" i="7"/>
  <c r="F327" i="7"/>
  <c r="H325" i="7"/>
  <c r="G325" i="7"/>
  <c r="F325" i="7"/>
  <c r="H324" i="7"/>
  <c r="G324" i="7"/>
  <c r="F324" i="7"/>
  <c r="H323" i="7"/>
  <c r="G323" i="7"/>
  <c r="F323" i="7"/>
  <c r="H322" i="7"/>
  <c r="G322" i="7"/>
  <c r="F322" i="7"/>
  <c r="H321" i="7"/>
  <c r="G321" i="7"/>
  <c r="F321" i="7"/>
  <c r="G295" i="7"/>
  <c r="G294" i="7"/>
  <c r="H263" i="7"/>
  <c r="G263" i="7"/>
  <c r="G268" i="7" s="1"/>
  <c r="F263" i="7"/>
  <c r="H261" i="7"/>
  <c r="G261" i="7"/>
  <c r="G267" i="7" s="1"/>
  <c r="F261" i="7"/>
  <c r="H259" i="7"/>
  <c r="G259" i="7"/>
  <c r="F259" i="7"/>
  <c r="H258" i="7"/>
  <c r="G258" i="7"/>
  <c r="F258" i="7"/>
  <c r="H257" i="7"/>
  <c r="G257" i="7"/>
  <c r="F257" i="7"/>
  <c r="H255" i="7"/>
  <c r="G255" i="7"/>
  <c r="F255" i="7"/>
  <c r="H254" i="7"/>
  <c r="G254" i="7"/>
  <c r="F254" i="7"/>
  <c r="H253" i="7"/>
  <c r="G253" i="7"/>
  <c r="F253" i="7"/>
  <c r="H252" i="7"/>
  <c r="G252" i="7"/>
  <c r="F252" i="7"/>
  <c r="H251" i="7"/>
  <c r="G251" i="7"/>
  <c r="F251" i="7"/>
  <c r="G1220" i="18" l="1"/>
  <c r="G1222" i="18" s="1"/>
  <c r="G1226" i="18" s="1"/>
  <c r="G1255" i="18" s="1"/>
  <c r="F83" i="12" s="1"/>
  <c r="G13" i="12" s="1"/>
  <c r="G1270" i="18"/>
  <c r="G1293" i="18" s="1"/>
  <c r="F84" i="12" s="1"/>
  <c r="G14" i="12" s="1"/>
  <c r="G156" i="18"/>
  <c r="G179" i="18"/>
  <c r="G117" i="18"/>
  <c r="G119" i="18"/>
  <c r="G118" i="18"/>
  <c r="G120" i="18"/>
  <c r="G178" i="18"/>
  <c r="H946" i="7"/>
  <c r="G64" i="12" s="1"/>
  <c r="H1125" i="7"/>
  <c r="H947" i="7"/>
  <c r="G65" i="12" s="1"/>
  <c r="H1132" i="7"/>
  <c r="G72" i="12" s="1"/>
  <c r="H949" i="7"/>
  <c r="G67" i="12" s="1"/>
  <c r="H1130" i="7"/>
  <c r="G70" i="12" s="1"/>
  <c r="H1127" i="7"/>
  <c r="H1126" i="7"/>
  <c r="H948" i="7"/>
  <c r="G66" i="12" s="1"/>
  <c r="H1131" i="7"/>
  <c r="G71" i="12" s="1"/>
  <c r="H1129" i="7"/>
  <c r="G69" i="12" s="1"/>
  <c r="H1124" i="7"/>
  <c r="G996" i="7"/>
  <c r="G995" i="7"/>
  <c r="G529" i="7"/>
  <c r="G336" i="7"/>
  <c r="G293" i="7"/>
  <c r="G363" i="7"/>
  <c r="G362" i="7"/>
  <c r="G335" i="7"/>
  <c r="G292" i="7"/>
  <c r="G266" i="7"/>
  <c r="G265" i="7"/>
  <c r="H466" i="7"/>
  <c r="F466" i="7"/>
  <c r="H411" i="7"/>
  <c r="F411" i="7"/>
  <c r="H234" i="7"/>
  <c r="G37" i="12" s="1"/>
  <c r="F234" i="7"/>
  <c r="E37" i="12" s="1"/>
  <c r="H233" i="7"/>
  <c r="G36" i="12" s="1"/>
  <c r="F233" i="7"/>
  <c r="E36" i="12" s="1"/>
  <c r="H232" i="7"/>
  <c r="G29" i="12" s="1"/>
  <c r="F232" i="7"/>
  <c r="E29" i="12" s="1"/>
  <c r="H231" i="7"/>
  <c r="G28" i="12" s="1"/>
  <c r="F231" i="7"/>
  <c r="E28" i="12" s="1"/>
  <c r="H229" i="7"/>
  <c r="G35" i="12" s="1"/>
  <c r="F229" i="7"/>
  <c r="E35" i="12" s="1"/>
  <c r="H228" i="7"/>
  <c r="G34" i="12" s="1"/>
  <c r="F228" i="7"/>
  <c r="E34" i="12" s="1"/>
  <c r="H227" i="7"/>
  <c r="G27" i="12" s="1"/>
  <c r="F227" i="7"/>
  <c r="E27" i="12" s="1"/>
  <c r="H226" i="7"/>
  <c r="G26" i="12" s="1"/>
  <c r="F226" i="7"/>
  <c r="E26" i="12" s="1"/>
  <c r="H224" i="7"/>
  <c r="G33" i="12" s="1"/>
  <c r="F224" i="7"/>
  <c r="E33" i="12" s="1"/>
  <c r="H223" i="7"/>
  <c r="G32" i="12" s="1"/>
  <c r="F223" i="7"/>
  <c r="E32" i="12" s="1"/>
  <c r="H222" i="7"/>
  <c r="G25" i="12" s="1"/>
  <c r="F222" i="7"/>
  <c r="E25" i="12" s="1"/>
  <c r="H221" i="7"/>
  <c r="G24" i="12" s="1"/>
  <c r="F221" i="7"/>
  <c r="E24" i="12" s="1"/>
  <c r="H481" i="7"/>
  <c r="F481" i="7"/>
  <c r="H480" i="7"/>
  <c r="F480" i="7"/>
  <c r="H479" i="7"/>
  <c r="F479" i="7"/>
  <c r="H478" i="7"/>
  <c r="F478" i="7"/>
  <c r="H476" i="7"/>
  <c r="F476" i="7"/>
  <c r="H475" i="7"/>
  <c r="F475" i="7"/>
  <c r="H474" i="7"/>
  <c r="F474" i="7"/>
  <c r="H473" i="7"/>
  <c r="F473" i="7"/>
  <c r="H445" i="7"/>
  <c r="G445" i="7"/>
  <c r="F445" i="7"/>
  <c r="H443" i="7"/>
  <c r="G443" i="7"/>
  <c r="F443" i="7"/>
  <c r="H441" i="7"/>
  <c r="G441" i="7"/>
  <c r="F441" i="7"/>
  <c r="H440" i="7"/>
  <c r="G440" i="7"/>
  <c r="F440" i="7"/>
  <c r="H439" i="7"/>
  <c r="G439" i="7"/>
  <c r="F439" i="7"/>
  <c r="H437" i="7"/>
  <c r="G437" i="7"/>
  <c r="F437" i="7"/>
  <c r="H436" i="7"/>
  <c r="G436" i="7"/>
  <c r="F436" i="7"/>
  <c r="H435" i="7"/>
  <c r="G435" i="7"/>
  <c r="F435" i="7"/>
  <c r="H434" i="7"/>
  <c r="G434" i="7"/>
  <c r="F434" i="7"/>
  <c r="H433" i="7"/>
  <c r="G433" i="7"/>
  <c r="F433" i="7"/>
  <c r="H431" i="7"/>
  <c r="G431" i="7"/>
  <c r="F431" i="7"/>
  <c r="H429" i="7"/>
  <c r="G429" i="7"/>
  <c r="F429" i="7"/>
  <c r="H427" i="7"/>
  <c r="G427" i="7"/>
  <c r="F427" i="7"/>
  <c r="H426" i="7"/>
  <c r="G426" i="7"/>
  <c r="F426" i="7"/>
  <c r="H425" i="7"/>
  <c r="G425" i="7"/>
  <c r="F425" i="7"/>
  <c r="H423" i="7"/>
  <c r="G423" i="7"/>
  <c r="F423" i="7"/>
  <c r="H422" i="7"/>
  <c r="G422" i="7"/>
  <c r="F422" i="7"/>
  <c r="H421" i="7"/>
  <c r="G421" i="7"/>
  <c r="F421" i="7"/>
  <c r="H420" i="7"/>
  <c r="G420" i="7"/>
  <c r="F420" i="7"/>
  <c r="H419" i="7"/>
  <c r="G419" i="7"/>
  <c r="F419" i="7"/>
  <c r="G1295" i="18" l="1"/>
  <c r="F133" i="12" s="1"/>
  <c r="G1297" i="18"/>
  <c r="F135" i="12" s="1"/>
  <c r="O17" i="12" s="1"/>
  <c r="G1298" i="18"/>
  <c r="F136" i="12" s="1"/>
  <c r="S17" i="12" s="1"/>
  <c r="G1296" i="18"/>
  <c r="F134" i="12" s="1"/>
  <c r="G1257" i="18"/>
  <c r="F128" i="12" s="1"/>
  <c r="G1258" i="18"/>
  <c r="F129" i="12" s="1"/>
  <c r="G1259" i="18"/>
  <c r="F130" i="12" s="1"/>
  <c r="O16" i="12" s="1"/>
  <c r="G1260" i="18"/>
  <c r="F131" i="12" s="1"/>
  <c r="S16" i="12" s="1"/>
  <c r="G182" i="18"/>
  <c r="G188" i="18" s="1"/>
  <c r="G136" i="18"/>
  <c r="G142" i="18" s="1"/>
  <c r="G148" i="18" s="1"/>
  <c r="G159" i="18"/>
  <c r="G165" i="18" s="1"/>
  <c r="G171" i="18" s="1"/>
  <c r="G137" i="18"/>
  <c r="G160" i="18"/>
  <c r="G183" i="18"/>
  <c r="G161" i="18"/>
  <c r="G168" i="18" s="1"/>
  <c r="G184" i="18"/>
  <c r="G191" i="18" s="1"/>
  <c r="G138" i="18"/>
  <c r="G145" i="18" s="1"/>
  <c r="G135" i="18"/>
  <c r="G158" i="18"/>
  <c r="G181" i="18"/>
  <c r="G448" i="7"/>
  <c r="G459" i="7"/>
  <c r="G464" i="7" s="1"/>
  <c r="G453" i="7"/>
  <c r="G447" i="7"/>
  <c r="G457" i="7"/>
  <c r="G463" i="7" s="1"/>
  <c r="G450" i="7"/>
  <c r="G451" i="7"/>
  <c r="G449" i="7"/>
  <c r="G454" i="7"/>
  <c r="G455" i="7"/>
  <c r="K16" i="12" l="1"/>
  <c r="K17" i="12"/>
  <c r="G194" i="18"/>
  <c r="G200" i="18" s="1"/>
  <c r="G205" i="18" s="1"/>
  <c r="G190" i="18"/>
  <c r="G197" i="18" s="1"/>
  <c r="G167" i="18"/>
  <c r="G174" i="18" s="1"/>
  <c r="G187" i="18"/>
  <c r="G198" i="18" s="1"/>
  <c r="G144" i="18"/>
  <c r="G151" i="18" s="1"/>
  <c r="G164" i="18"/>
  <c r="G175" i="18" s="1"/>
  <c r="G141" i="18"/>
  <c r="G152" i="18" s="1"/>
  <c r="G461" i="7"/>
  <c r="G462" i="7"/>
  <c r="G186" i="18" l="1"/>
  <c r="G193" i="18" s="1"/>
  <c r="G143" i="18"/>
  <c r="G150" i="18" s="1"/>
  <c r="G140" i="18"/>
  <c r="G147" i="18" s="1"/>
  <c r="G189" i="18"/>
  <c r="G196" i="18" s="1"/>
  <c r="G163" i="18"/>
  <c r="G170" i="18" s="1"/>
  <c r="G166" i="18"/>
  <c r="G173" i="18" s="1"/>
  <c r="G201" i="18"/>
  <c r="G228" i="18" s="1"/>
  <c r="H404" i="7"/>
  <c r="G404" i="7"/>
  <c r="G409" i="7" s="1"/>
  <c r="F404" i="7"/>
  <c r="H402" i="7"/>
  <c r="G402" i="7"/>
  <c r="G408" i="7" s="1"/>
  <c r="F402" i="7"/>
  <c r="H400" i="7"/>
  <c r="G400" i="7"/>
  <c r="F400" i="7"/>
  <c r="H399" i="7"/>
  <c r="G399" i="7"/>
  <c r="F399" i="7"/>
  <c r="H398" i="7"/>
  <c r="G398" i="7"/>
  <c r="F398" i="7"/>
  <c r="H396" i="7"/>
  <c r="G396" i="7"/>
  <c r="F396" i="7"/>
  <c r="H395" i="7"/>
  <c r="G395" i="7"/>
  <c r="F395" i="7"/>
  <c r="H394" i="7"/>
  <c r="G394" i="7"/>
  <c r="F394" i="7"/>
  <c r="H393" i="7"/>
  <c r="G393" i="7"/>
  <c r="F393" i="7"/>
  <c r="H392" i="7"/>
  <c r="G392" i="7"/>
  <c r="F392" i="7"/>
  <c r="H513" i="7"/>
  <c r="F513" i="7"/>
  <c r="H512" i="7"/>
  <c r="F512" i="7"/>
  <c r="H511" i="7"/>
  <c r="F511" i="7"/>
  <c r="H510" i="7"/>
  <c r="F510" i="7"/>
  <c r="H500" i="7"/>
  <c r="F500" i="7"/>
  <c r="H499" i="7"/>
  <c r="F499" i="7"/>
  <c r="H498" i="7"/>
  <c r="F498" i="7"/>
  <c r="H497" i="7"/>
  <c r="F497" i="7"/>
  <c r="H493" i="7"/>
  <c r="F493" i="7"/>
  <c r="H492" i="7"/>
  <c r="F492" i="7"/>
  <c r="H197" i="7"/>
  <c r="G197" i="7"/>
  <c r="F197" i="7"/>
  <c r="H194" i="7"/>
  <c r="F194" i="7"/>
  <c r="H193" i="7"/>
  <c r="F193" i="7"/>
  <c r="F189" i="7"/>
  <c r="H204" i="7"/>
  <c r="G204" i="7"/>
  <c r="F204" i="7"/>
  <c r="H191" i="7"/>
  <c r="G191" i="7"/>
  <c r="F191" i="7"/>
  <c r="H163" i="7"/>
  <c r="G163" i="7"/>
  <c r="F163" i="7"/>
  <c r="H156" i="7"/>
  <c r="G156" i="7"/>
  <c r="F156" i="7"/>
  <c r="H150" i="7"/>
  <c r="G150" i="7"/>
  <c r="F150" i="7"/>
  <c r="F148" i="7"/>
  <c r="H140" i="7"/>
  <c r="G140" i="7"/>
  <c r="F140" i="7"/>
  <c r="H127" i="7"/>
  <c r="G127" i="7"/>
  <c r="F127" i="7"/>
  <c r="F125" i="7"/>
  <c r="H122" i="7"/>
  <c r="H121" i="7"/>
  <c r="H120" i="7"/>
  <c r="H133" i="7"/>
  <c r="G133" i="7"/>
  <c r="F133" i="7"/>
  <c r="H153" i="7"/>
  <c r="G153" i="7"/>
  <c r="F153" i="7"/>
  <c r="H152" i="7"/>
  <c r="G152" i="7"/>
  <c r="F152" i="7"/>
  <c r="H130" i="7"/>
  <c r="F130" i="7"/>
  <c r="H129" i="7"/>
  <c r="F129" i="7"/>
  <c r="H118" i="7"/>
  <c r="H117" i="7"/>
  <c r="H116" i="7"/>
  <c r="H115" i="7"/>
  <c r="H114" i="7"/>
  <c r="H113" i="7"/>
  <c r="H111" i="7"/>
  <c r="F111" i="7"/>
  <c r="H110" i="7"/>
  <c r="F110" i="7"/>
  <c r="H109" i="7"/>
  <c r="F109" i="7"/>
  <c r="H108" i="7"/>
  <c r="F108" i="7"/>
  <c r="H96" i="7"/>
  <c r="F96" i="7"/>
  <c r="H95" i="7"/>
  <c r="F95" i="7"/>
  <c r="H94" i="7"/>
  <c r="F94" i="7"/>
  <c r="H93" i="7"/>
  <c r="F93" i="7"/>
  <c r="H91" i="7"/>
  <c r="H105" i="7" s="1"/>
  <c r="F91" i="7"/>
  <c r="F105" i="7" s="1"/>
  <c r="F49" i="7"/>
  <c r="F48" i="7"/>
  <c r="G49" i="7"/>
  <c r="G48" i="7"/>
  <c r="F26" i="7"/>
  <c r="F25" i="7"/>
  <c r="G26" i="7"/>
  <c r="G7" i="7"/>
  <c r="G9" i="7" s="1"/>
  <c r="F16" i="7"/>
  <c r="F18" i="7"/>
  <c r="G18" i="7"/>
  <c r="F19" i="7"/>
  <c r="G19" i="7"/>
  <c r="F20" i="7"/>
  <c r="G20" i="7"/>
  <c r="F21" i="7"/>
  <c r="G21" i="7"/>
  <c r="F23" i="7"/>
  <c r="F24" i="7"/>
  <c r="F31" i="7"/>
  <c r="G31" i="7"/>
  <c r="F33" i="7"/>
  <c r="F34" i="7"/>
  <c r="F39" i="7"/>
  <c r="G39" i="7"/>
  <c r="F41" i="7"/>
  <c r="G41" i="7"/>
  <c r="F42" i="7"/>
  <c r="G42" i="7"/>
  <c r="F43" i="7"/>
  <c r="G43" i="7"/>
  <c r="F44" i="7"/>
  <c r="G44" i="7"/>
  <c r="F46" i="7"/>
  <c r="G46" i="7"/>
  <c r="F47" i="7"/>
  <c r="G47" i="7"/>
  <c r="F54" i="7"/>
  <c r="G54" i="7"/>
  <c r="F56" i="7"/>
  <c r="G56" i="7"/>
  <c r="F57" i="7"/>
  <c r="G57" i="7"/>
  <c r="G202" i="18" l="1"/>
  <c r="G269" i="18" s="1"/>
  <c r="G280" i="18" s="1"/>
  <c r="H189" i="7"/>
  <c r="H1307" i="18"/>
  <c r="H148" i="7"/>
  <c r="H1306" i="18"/>
  <c r="H125" i="7"/>
  <c r="H1305" i="18"/>
  <c r="G239" i="18"/>
  <c r="G238" i="18"/>
  <c r="G240" i="18"/>
  <c r="G241" i="18"/>
  <c r="G407" i="7"/>
  <c r="G406" i="7"/>
  <c r="G10" i="7"/>
  <c r="G61" i="7" s="1"/>
  <c r="G85" i="7" l="1"/>
  <c r="G545" i="7" s="1"/>
  <c r="G550" i="7" s="1"/>
  <c r="G84" i="7"/>
  <c r="G74" i="7"/>
  <c r="G75" i="7"/>
  <c r="G196" i="7" s="1"/>
  <c r="G283" i="18"/>
  <c r="G594" i="18" s="1"/>
  <c r="G281" i="18"/>
  <c r="G592" i="18" s="1"/>
  <c r="G282" i="18"/>
  <c r="G593" i="18" s="1"/>
  <c r="G248" i="18"/>
  <c r="G581" i="18"/>
  <c r="G247" i="18"/>
  <c r="G580" i="18"/>
  <c r="G578" i="18"/>
  <c r="G245" i="18"/>
  <c r="G246" i="18"/>
  <c r="G579" i="18"/>
  <c r="G591" i="18"/>
  <c r="G287" i="18"/>
  <c r="G65" i="7"/>
  <c r="G94" i="7" s="1"/>
  <c r="G72" i="7"/>
  <c r="G194" i="7" s="1"/>
  <c r="G64" i="7"/>
  <c r="G93" i="7" s="1"/>
  <c r="G66" i="7"/>
  <c r="G95" i="7" s="1"/>
  <c r="G77" i="7"/>
  <c r="G106" i="7" s="1"/>
  <c r="G67" i="7"/>
  <c r="G96" i="7" s="1"/>
  <c r="G132" i="7" l="1"/>
  <c r="G155" i="7"/>
  <c r="G290" i="18"/>
  <c r="G315" i="18" s="1"/>
  <c r="F91" i="12" s="1"/>
  <c r="G288" i="18"/>
  <c r="G448" i="18" s="1"/>
  <c r="G289" i="18"/>
  <c r="G314" i="18" s="1"/>
  <c r="F90" i="12" s="1"/>
  <c r="G596" i="18"/>
  <c r="G421" i="18"/>
  <c r="G312" i="18"/>
  <c r="G257" i="18"/>
  <c r="G308" i="18"/>
  <c r="F79" i="12" s="1"/>
  <c r="G307" i="18"/>
  <c r="F78" i="12" s="1"/>
  <c r="G256" i="18"/>
  <c r="G583" i="18"/>
  <c r="G587" i="18" s="1"/>
  <c r="G309" i="18"/>
  <c r="F88" i="12" s="1"/>
  <c r="G258" i="18"/>
  <c r="G259" i="18"/>
  <c r="G310" i="18"/>
  <c r="F89" i="12" s="1"/>
  <c r="G537" i="7"/>
  <c r="G667" i="7"/>
  <c r="G34" i="7"/>
  <c r="G80" i="7" s="1"/>
  <c r="G758" i="7" s="1"/>
  <c r="G33" i="7"/>
  <c r="G79" i="7" s="1"/>
  <c r="G747" i="7" s="1"/>
  <c r="J257" i="18" l="1"/>
  <c r="F80" i="12"/>
  <c r="G12" i="12"/>
  <c r="G753" i="18"/>
  <c r="G803" i="18" s="1"/>
  <c r="G807" i="18" s="1"/>
  <c r="G818" i="18" s="1"/>
  <c r="G313" i="18"/>
  <c r="F81" i="12" s="1"/>
  <c r="G741" i="18"/>
  <c r="G745" i="18" s="1"/>
  <c r="G776" i="18" s="1"/>
  <c r="G779" i="18" s="1"/>
  <c r="G812" i="18" s="1"/>
  <c r="G452" i="18"/>
  <c r="G463" i="18" s="1"/>
  <c r="G450" i="18"/>
  <c r="G461" i="18" s="1"/>
  <c r="G451" i="18"/>
  <c r="G462" i="18" s="1"/>
  <c r="G453" i="18"/>
  <c r="G464" i="18" s="1"/>
  <c r="G424" i="18"/>
  <c r="G457" i="18" s="1"/>
  <c r="G426" i="18"/>
  <c r="G459" i="18" s="1"/>
  <c r="G425" i="18"/>
  <c r="G458" i="18" s="1"/>
  <c r="G423" i="18"/>
  <c r="G456" i="18" s="1"/>
  <c r="G16" i="7"/>
  <c r="G62" i="7" s="1"/>
  <c r="G91" i="7" s="1"/>
  <c r="G10" i="12" l="1"/>
  <c r="G105" i="7"/>
  <c r="G101" i="7"/>
  <c r="G111" i="7" s="1"/>
  <c r="G118" i="7" s="1"/>
  <c r="G26" i="18"/>
  <c r="G74" i="18" s="1"/>
  <c r="G210" i="18" s="1"/>
  <c r="G217" i="18" s="1"/>
  <c r="G806" i="18"/>
  <c r="G817" i="18" s="1"/>
  <c r="G822" i="18" s="1"/>
  <c r="G805" i="18"/>
  <c r="G816" i="18" s="1"/>
  <c r="G780" i="18"/>
  <c r="G813" i="18" s="1"/>
  <c r="G778" i="18"/>
  <c r="G811" i="18" s="1"/>
  <c r="G808" i="18"/>
  <c r="G819" i="18" s="1"/>
  <c r="G781" i="18"/>
  <c r="G814" i="18" s="1"/>
  <c r="G466" i="18"/>
  <c r="F98" i="12" s="1"/>
  <c r="G468" i="18"/>
  <c r="F100" i="12" s="1"/>
  <c r="O10" i="12" s="1"/>
  <c r="G469" i="18"/>
  <c r="F101" i="12" s="1"/>
  <c r="S10" i="12" s="1"/>
  <c r="G467" i="18"/>
  <c r="F99" i="12" s="1"/>
  <c r="G25" i="18"/>
  <c r="G73" i="18" s="1"/>
  <c r="G209" i="18" s="1"/>
  <c r="G25" i="7"/>
  <c r="G71" i="7" s="1"/>
  <c r="G193" i="7" s="1"/>
  <c r="G100" i="7"/>
  <c r="G110" i="7" s="1"/>
  <c r="G99" i="7"/>
  <c r="G109" i="7" s="1"/>
  <c r="G115" i="7" s="1"/>
  <c r="G98" i="7"/>
  <c r="G108" i="7" s="1"/>
  <c r="G262" i="1"/>
  <c r="F262" i="1"/>
  <c r="E262" i="1"/>
  <c r="G261" i="1"/>
  <c r="F261" i="1"/>
  <c r="E261" i="1"/>
  <c r="K10" i="12" l="1"/>
  <c r="G821" i="18"/>
  <c r="F113" i="12" s="1"/>
  <c r="G823" i="18"/>
  <c r="F115" i="12" s="1"/>
  <c r="O13" i="12" s="1"/>
  <c r="G824" i="18"/>
  <c r="F116" i="12" s="1"/>
  <c r="F114" i="12"/>
  <c r="G218" i="18"/>
  <c r="G574" i="18" s="1"/>
  <c r="G24" i="7"/>
  <c r="G70" i="7" s="1"/>
  <c r="G130" i="7" s="1"/>
  <c r="G216" i="18"/>
  <c r="G215" i="18"/>
  <c r="G573" i="18"/>
  <c r="G224" i="18"/>
  <c r="G304" i="18" s="1"/>
  <c r="F86" i="12" s="1"/>
  <c r="G23" i="7"/>
  <c r="G69" i="7" s="1"/>
  <c r="G129" i="7" s="1"/>
  <c r="G120" i="7"/>
  <c r="G117" i="7"/>
  <c r="G116" i="7" s="1"/>
  <c r="G122" i="7" s="1"/>
  <c r="G114" i="7"/>
  <c r="K13" i="12" l="1"/>
  <c r="S13" i="12"/>
  <c r="G225" i="18"/>
  <c r="G254" i="18" s="1"/>
  <c r="G266" i="18" s="1"/>
  <c r="G253" i="18"/>
  <c r="G265" i="18" s="1"/>
  <c r="G321" i="18"/>
  <c r="G222" i="18"/>
  <c r="G302" i="18" s="1"/>
  <c r="G571" i="18"/>
  <c r="G125" i="7"/>
  <c r="G137" i="7" s="1"/>
  <c r="G1305" i="18"/>
  <c r="G572" i="18"/>
  <c r="G223" i="18"/>
  <c r="G303" i="18" s="1"/>
  <c r="F77" i="12" s="1"/>
  <c r="G189" i="7"/>
  <c r="G201" i="7" s="1"/>
  <c r="G208" i="7" s="1"/>
  <c r="G1307" i="18"/>
  <c r="G1314" i="18" s="1"/>
  <c r="G113" i="7"/>
  <c r="G121" i="7"/>
  <c r="F76" i="12" l="1"/>
  <c r="G294" i="18"/>
  <c r="G305" i="18"/>
  <c r="G202" i="7"/>
  <c r="G209" i="7" s="1"/>
  <c r="G234" i="7" s="1"/>
  <c r="F37" i="12" s="1"/>
  <c r="G199" i="7"/>
  <c r="G206" i="7" s="1"/>
  <c r="G200" i="7"/>
  <c r="G207" i="7" s="1"/>
  <c r="G576" i="18"/>
  <c r="G586" i="18" s="1"/>
  <c r="G148" i="7"/>
  <c r="G159" i="7" s="1"/>
  <c r="G166" i="7" s="1"/>
  <c r="G1306" i="18"/>
  <c r="G135" i="7"/>
  <c r="G490" i="7" s="1"/>
  <c r="G251" i="18"/>
  <c r="G319" i="18"/>
  <c r="G492" i="18"/>
  <c r="G136" i="7"/>
  <c r="G138" i="7"/>
  <c r="G145" i="7" s="1"/>
  <c r="G174" i="7" s="1"/>
  <c r="G252" i="18"/>
  <c r="G233" i="7"/>
  <c r="F36" i="12" s="1"/>
  <c r="G512" i="7"/>
  <c r="G144" i="7"/>
  <c r="G173" i="7" s="1"/>
  <c r="G492" i="7"/>
  <c r="G1313" i="18" l="1"/>
  <c r="G1315" i="18" s="1"/>
  <c r="G1336" i="18" s="1"/>
  <c r="G1340" i="18" s="1"/>
  <c r="F140" i="12" s="1"/>
  <c r="O18" i="12" s="1"/>
  <c r="F12" i="12"/>
  <c r="G263" i="18"/>
  <c r="G351" i="18" s="1"/>
  <c r="J252" i="18"/>
  <c r="G322" i="18"/>
  <c r="G547" i="18" s="1"/>
  <c r="G552" i="18" s="1"/>
  <c r="G562" i="18" s="1"/>
  <c r="F87" i="12"/>
  <c r="G11" i="12" s="1"/>
  <c r="G631" i="18"/>
  <c r="G708" i="18" s="1"/>
  <c r="G711" i="18" s="1"/>
  <c r="G727" i="18" s="1"/>
  <c r="G143" i="7"/>
  <c r="G172" i="7" s="1"/>
  <c r="G491" i="7"/>
  <c r="G511" i="7"/>
  <c r="G513" i="7"/>
  <c r="G510" i="7"/>
  <c r="G142" i="7"/>
  <c r="G221" i="7" s="1"/>
  <c r="G160" i="7"/>
  <c r="G167" i="7" s="1"/>
  <c r="G161" i="7"/>
  <c r="G168" i="7" s="1"/>
  <c r="G158" i="7"/>
  <c r="G165" i="7" s="1"/>
  <c r="G176" i="7" s="1"/>
  <c r="G493" i="7"/>
  <c r="G495" i="18"/>
  <c r="G555" i="18" s="1"/>
  <c r="G494" i="18"/>
  <c r="G554" i="18" s="1"/>
  <c r="G496" i="18"/>
  <c r="G556" i="18" s="1"/>
  <c r="G497" i="18"/>
  <c r="G557" i="18" s="1"/>
  <c r="G232" i="7"/>
  <c r="F29" i="12" s="1"/>
  <c r="G367" i="7"/>
  <c r="G372" i="7" s="1"/>
  <c r="G383" i="7" s="1"/>
  <c r="G231" i="7"/>
  <c r="F28" i="12" s="1"/>
  <c r="G340" i="7"/>
  <c r="G224" i="7"/>
  <c r="F33" i="12" s="1"/>
  <c r="G223" i="7"/>
  <c r="F32" i="12" s="1"/>
  <c r="G177" i="7"/>
  <c r="G498" i="7"/>
  <c r="G353" i="18" l="1"/>
  <c r="G386" i="18" s="1"/>
  <c r="G355" i="18"/>
  <c r="G388" i="18" s="1"/>
  <c r="G354" i="18"/>
  <c r="G387" i="18" s="1"/>
  <c r="F10" i="12"/>
  <c r="F24" i="12"/>
  <c r="G356" i="18"/>
  <c r="G389" i="18" s="1"/>
  <c r="G549" i="18"/>
  <c r="G559" i="18" s="1"/>
  <c r="G564" i="18" s="1"/>
  <c r="F103" i="12" s="1"/>
  <c r="G567" i="18"/>
  <c r="F106" i="12" s="1"/>
  <c r="S11" i="12" s="1"/>
  <c r="G551" i="18"/>
  <c r="G561" i="18" s="1"/>
  <c r="G566" i="18" s="1"/>
  <c r="F105" i="12" s="1"/>
  <c r="O11" i="12" s="1"/>
  <c r="G325" i="18"/>
  <c r="G840" i="18" s="1"/>
  <c r="G842" i="18" s="1"/>
  <c r="G846" i="18" s="1"/>
  <c r="G1081" i="18" s="1"/>
  <c r="G1083" i="18" s="1"/>
  <c r="G550" i="18"/>
  <c r="G560" i="18" s="1"/>
  <c r="G565" i="18" s="1"/>
  <c r="F104" i="12" s="1"/>
  <c r="G713" i="18"/>
  <c r="G729" i="18" s="1"/>
  <c r="G710" i="18"/>
  <c r="G726" i="18" s="1"/>
  <c r="G712" i="18"/>
  <c r="G728" i="18" s="1"/>
  <c r="G222" i="7"/>
  <c r="G171" i="7"/>
  <c r="G183" i="7" s="1"/>
  <c r="G270" i="7" s="1"/>
  <c r="G1338" i="18"/>
  <c r="F138" i="12" s="1"/>
  <c r="G500" i="7"/>
  <c r="G1341" i="18"/>
  <c r="F141" i="12" s="1"/>
  <c r="S18" i="12" s="1"/>
  <c r="G1339" i="18"/>
  <c r="F139" i="12" s="1"/>
  <c r="G499" i="7"/>
  <c r="G495" i="7"/>
  <c r="G505" i="7" s="1"/>
  <c r="G497" i="7"/>
  <c r="G370" i="7"/>
  <c r="G381" i="7" s="1"/>
  <c r="G369" i="7"/>
  <c r="G380" i="7" s="1"/>
  <c r="G371" i="7"/>
  <c r="G382" i="7" s="1"/>
  <c r="G228" i="7"/>
  <c r="G178" i="7"/>
  <c r="G185" i="7" s="1"/>
  <c r="G229" i="7"/>
  <c r="G179" i="7"/>
  <c r="G186" i="7" s="1"/>
  <c r="G343" i="7"/>
  <c r="G376" i="7" s="1"/>
  <c r="G344" i="7"/>
  <c r="G377" i="7" s="1"/>
  <c r="G345" i="7"/>
  <c r="G378" i="7" s="1"/>
  <c r="G388" i="7" s="1"/>
  <c r="F47" i="12" s="1"/>
  <c r="R10" i="12" s="1"/>
  <c r="G342" i="7"/>
  <c r="G375" i="7" s="1"/>
  <c r="G227" i="7"/>
  <c r="F27" i="12" s="1"/>
  <c r="G226" i="7"/>
  <c r="G515" i="7"/>
  <c r="G213" i="7" l="1"/>
  <c r="G1086" i="18"/>
  <c r="G1198" i="18" s="1"/>
  <c r="G1084" i="18"/>
  <c r="G1196" i="18" s="1"/>
  <c r="G1085" i="18"/>
  <c r="G1197" i="18" s="1"/>
  <c r="G843" i="18"/>
  <c r="G847" i="18" s="1"/>
  <c r="G1117" i="18" s="1"/>
  <c r="G1125" i="18" s="1"/>
  <c r="G1172" i="18" s="1"/>
  <c r="G241" i="7"/>
  <c r="G466" i="7" s="1"/>
  <c r="G471" i="7" s="1"/>
  <c r="G481" i="7" s="1"/>
  <c r="F35" i="12"/>
  <c r="G240" i="7"/>
  <c r="G411" i="7" s="1"/>
  <c r="F34" i="12"/>
  <c r="F25" i="12"/>
  <c r="G238" i="7"/>
  <c r="F26" i="12"/>
  <c r="K11" i="12"/>
  <c r="K18" i="12"/>
  <c r="G502" i="7"/>
  <c r="G506" i="7" s="1"/>
  <c r="G386" i="7"/>
  <c r="F45" i="12" s="1"/>
  <c r="G1195" i="18"/>
  <c r="G387" i="7"/>
  <c r="F46" i="12" s="1"/>
  <c r="N10" i="12" s="1"/>
  <c r="G385" i="7"/>
  <c r="F44" i="12" s="1"/>
  <c r="G660" i="7"/>
  <c r="G275" i="7"/>
  <c r="G308" i="7" s="1"/>
  <c r="G1109" i="18" l="1"/>
  <c r="G1112" i="18" s="1"/>
  <c r="G1201" i="18" s="1"/>
  <c r="F11" i="12"/>
  <c r="G215" i="7"/>
  <c r="G218" i="7" s="1"/>
  <c r="G504" i="7" s="1"/>
  <c r="G508" i="7" s="1"/>
  <c r="G538" i="7" s="1"/>
  <c r="G542" i="7" s="1"/>
  <c r="G1124" i="18"/>
  <c r="G1146" i="18" s="1"/>
  <c r="G1148" i="18" s="1"/>
  <c r="G1179" i="18" s="1"/>
  <c r="G469" i="7"/>
  <c r="G479" i="7" s="1"/>
  <c r="G468" i="7"/>
  <c r="G478" i="7" s="1"/>
  <c r="G470" i="7"/>
  <c r="G480" i="7" s="1"/>
  <c r="G244" i="7"/>
  <c r="G759" i="7" s="1"/>
  <c r="G761" i="7" s="1"/>
  <c r="J10" i="12"/>
  <c r="G1175" i="18"/>
  <c r="G1185" i="18" s="1"/>
  <c r="G1177" i="18"/>
  <c r="G1187" i="18" s="1"/>
  <c r="G1176" i="18"/>
  <c r="G1186" i="18" s="1"/>
  <c r="G1174" i="18"/>
  <c r="G1184" i="18" s="1"/>
  <c r="G274" i="7"/>
  <c r="G307" i="7" s="1"/>
  <c r="G672" i="7"/>
  <c r="G722" i="7" s="1"/>
  <c r="G664" i="7"/>
  <c r="G695" i="7" s="1"/>
  <c r="G273" i="7"/>
  <c r="G306" i="7" s="1"/>
  <c r="G272" i="7"/>
  <c r="G305" i="7" s="1"/>
  <c r="G415" i="7"/>
  <c r="G475" i="7" s="1"/>
  <c r="G416" i="7"/>
  <c r="G476" i="7" s="1"/>
  <c r="G486" i="7" s="1"/>
  <c r="F52" i="12" s="1"/>
  <c r="R11" i="12" s="1"/>
  <c r="G414" i="7"/>
  <c r="G474" i="7" s="1"/>
  <c r="G413" i="7"/>
  <c r="G473" i="7" s="1"/>
  <c r="G1111" i="18" l="1"/>
  <c r="G1200" i="18" s="1"/>
  <c r="G1113" i="18"/>
  <c r="G1202" i="18" s="1"/>
  <c r="G1114" i="18"/>
  <c r="G1203" i="18" s="1"/>
  <c r="G181" i="7"/>
  <c r="G184" i="7" s="1"/>
  <c r="G297" i="7" s="1"/>
  <c r="G300" i="7" s="1"/>
  <c r="G311" i="7" s="1"/>
  <c r="G316" i="7" s="1"/>
  <c r="F40" i="12" s="1"/>
  <c r="G236" i="7"/>
  <c r="G239" i="7" s="1"/>
  <c r="G246" i="7" s="1"/>
  <c r="G762" i="7"/>
  <c r="G766" i="7" s="1"/>
  <c r="G1036" i="7" s="1"/>
  <c r="G483" i="7"/>
  <c r="F49" i="12" s="1"/>
  <c r="G1149" i="18"/>
  <c r="G1180" i="18" s="1"/>
  <c r="G1190" i="18" s="1"/>
  <c r="G1151" i="18"/>
  <c r="G1182" i="18" s="1"/>
  <c r="G1192" i="18" s="1"/>
  <c r="G1150" i="18"/>
  <c r="G1181" i="18" s="1"/>
  <c r="G1191" i="18" s="1"/>
  <c r="G485" i="7"/>
  <c r="F51" i="12" s="1"/>
  <c r="N11" i="12" s="1"/>
  <c r="G484" i="7"/>
  <c r="F50" i="12" s="1"/>
  <c r="G530" i="7"/>
  <c r="G534" i="7" s="1"/>
  <c r="G573" i="7" s="1"/>
  <c r="G575" i="7" s="1"/>
  <c r="G1189" i="18"/>
  <c r="G726" i="7"/>
  <c r="G727" i="7"/>
  <c r="G725" i="7"/>
  <c r="G724" i="7"/>
  <c r="G699" i="7"/>
  <c r="G700" i="7"/>
  <c r="G698" i="7"/>
  <c r="G697" i="7"/>
  <c r="G765" i="7"/>
  <c r="G1000" i="7" s="1"/>
  <c r="G600" i="7"/>
  <c r="G602" i="7" s="1"/>
  <c r="G627" i="7"/>
  <c r="G632" i="7" s="1"/>
  <c r="G1028" i="7" l="1"/>
  <c r="G1032" i="7" s="1"/>
  <c r="G1121" i="7" s="1"/>
  <c r="F30" i="12"/>
  <c r="F9" i="12" s="1"/>
  <c r="F20" i="12" s="1"/>
  <c r="G299" i="7"/>
  <c r="G310" i="7" s="1"/>
  <c r="G315" i="7" s="1"/>
  <c r="F39" i="12" s="1"/>
  <c r="J9" i="12" s="1"/>
  <c r="G302" i="7"/>
  <c r="G313" i="7" s="1"/>
  <c r="G318" i="7" s="1"/>
  <c r="F42" i="12" s="1"/>
  <c r="R9" i="12" s="1"/>
  <c r="G301" i="7"/>
  <c r="G312" i="7" s="1"/>
  <c r="G317" i="7" s="1"/>
  <c r="F41" i="12" s="1"/>
  <c r="N9" i="12" s="1"/>
  <c r="J11" i="12"/>
  <c r="G243" i="7"/>
  <c r="G748" i="7" s="1"/>
  <c r="G750" i="7" s="1"/>
  <c r="G754" i="7" s="1"/>
  <c r="G817" i="7" s="1"/>
  <c r="G1044" i="7"/>
  <c r="G1043" i="7"/>
  <c r="G1207" i="18"/>
  <c r="G1212" i="18" s="1"/>
  <c r="F125" i="12" s="1"/>
  <c r="O15" i="12" s="1"/>
  <c r="G1205" i="18"/>
  <c r="G1210" i="18" s="1"/>
  <c r="F123" i="12" s="1"/>
  <c r="G1208" i="18"/>
  <c r="G1213" i="18" s="1"/>
  <c r="F126" i="12" s="1"/>
  <c r="S15" i="12" s="1"/>
  <c r="G1206" i="18"/>
  <c r="G1211" i="18" s="1"/>
  <c r="F124" i="12" s="1"/>
  <c r="G1005" i="7"/>
  <c r="G1003" i="7"/>
  <c r="G1115" i="7" s="1"/>
  <c r="G1002" i="7"/>
  <c r="G1114" i="7" s="1"/>
  <c r="G1004" i="7"/>
  <c r="G605" i="7"/>
  <c r="G643" i="7" s="1"/>
  <c r="G630" i="7"/>
  <c r="G646" i="7" s="1"/>
  <c r="G603" i="7"/>
  <c r="G641" i="7" s="1"/>
  <c r="G604" i="7"/>
  <c r="G642" i="7" s="1"/>
  <c r="G733" i="7"/>
  <c r="G732" i="7"/>
  <c r="G731" i="7"/>
  <c r="G730" i="7"/>
  <c r="G578" i="7"/>
  <c r="G640" i="7"/>
  <c r="G635" i="7"/>
  <c r="G648" i="7"/>
  <c r="G735" i="7"/>
  <c r="G738" i="7"/>
  <c r="G737" i="7"/>
  <c r="G736" i="7"/>
  <c r="G629" i="7"/>
  <c r="G577" i="7"/>
  <c r="G631" i="7"/>
  <c r="G576" i="7"/>
  <c r="G1033" i="7" l="1"/>
  <c r="G1122" i="7" s="1"/>
  <c r="G1030" i="7"/>
  <c r="G1119" i="7" s="1"/>
  <c r="G1031" i="7"/>
  <c r="G1120" i="7" s="1"/>
  <c r="G751" i="7"/>
  <c r="G755" i="7" s="1"/>
  <c r="K15" i="12"/>
  <c r="G820" i="7"/>
  <c r="G932" i="7" s="1"/>
  <c r="G819" i="7"/>
  <c r="G931" i="7" s="1"/>
  <c r="G821" i="7"/>
  <c r="G933" i="7" s="1"/>
  <c r="G822" i="7"/>
  <c r="G934" i="7" s="1"/>
  <c r="G742" i="7"/>
  <c r="G743" i="7"/>
  <c r="F62" i="12" s="1"/>
  <c r="R13" i="12" s="1"/>
  <c r="G740" i="7"/>
  <c r="F59" i="12" s="1"/>
  <c r="G741" i="7"/>
  <c r="F60" i="12" s="1"/>
  <c r="G196" i="12"/>
  <c r="G1117" i="7"/>
  <c r="G1116" i="7"/>
  <c r="G1065" i="7"/>
  <c r="G1069" i="7" s="1"/>
  <c r="G1091" i="7"/>
  <c r="G1093" i="7" s="1"/>
  <c r="G645" i="7"/>
  <c r="G647" i="7"/>
  <c r="G637" i="7"/>
  <c r="G636" i="7"/>
  <c r="G651" i="7" s="1"/>
  <c r="F55" i="12" s="1"/>
  <c r="G638" i="7"/>
  <c r="G653" i="7" s="1"/>
  <c r="F57" i="12" s="1"/>
  <c r="R12" i="12" s="1"/>
  <c r="J13" i="12" l="1"/>
  <c r="G853" i="7"/>
  <c r="G845" i="7"/>
  <c r="G650" i="7"/>
  <c r="F54" i="12" s="1"/>
  <c r="J12" i="12" s="1"/>
  <c r="G1070" i="7"/>
  <c r="G1101" i="7" s="1"/>
  <c r="G1067" i="7"/>
  <c r="G1098" i="7" s="1"/>
  <c r="G1068" i="7"/>
  <c r="G1099" i="7" s="1"/>
  <c r="G1095" i="7"/>
  <c r="G1105" i="7" s="1"/>
  <c r="G1096" i="7"/>
  <c r="G1106" i="7" s="1"/>
  <c r="G1103" i="7"/>
  <c r="G1100" i="7"/>
  <c r="G1094" i="7"/>
  <c r="G652" i="7"/>
  <c r="F56" i="12" s="1"/>
  <c r="N12" i="12" s="1"/>
  <c r="F61" i="12"/>
  <c r="N13" i="12" s="1"/>
  <c r="G847" i="7" l="1"/>
  <c r="G936" i="7" s="1"/>
  <c r="G849" i="7"/>
  <c r="G938" i="7" s="1"/>
  <c r="G848" i="7"/>
  <c r="G937" i="7" s="1"/>
  <c r="G850" i="7"/>
  <c r="G939" i="7" s="1"/>
  <c r="G860" i="7"/>
  <c r="G882" i="7" s="1"/>
  <c r="G861" i="7"/>
  <c r="G908" i="7" s="1"/>
  <c r="G1110" i="7"/>
  <c r="G1126" i="7" s="1"/>
  <c r="G1131" i="7" s="1"/>
  <c r="F71" i="12" s="1"/>
  <c r="N15" i="12" s="1"/>
  <c r="G1108" i="7"/>
  <c r="G1124" i="7" s="1"/>
  <c r="G1129" i="7" s="1"/>
  <c r="F69" i="12" s="1"/>
  <c r="G1111" i="7"/>
  <c r="G1127" i="7" s="1"/>
  <c r="G1132" i="7" s="1"/>
  <c r="F72" i="12" s="1"/>
  <c r="R15" i="12" s="1"/>
  <c r="G1104" i="7"/>
  <c r="G1109" i="7" s="1"/>
  <c r="G886" i="7" l="1"/>
  <c r="G917" i="7" s="1"/>
  <c r="G885" i="7"/>
  <c r="G916" i="7" s="1"/>
  <c r="G887" i="7"/>
  <c r="G918" i="7" s="1"/>
  <c r="G884" i="7"/>
  <c r="G915" i="7" s="1"/>
  <c r="G913" i="7"/>
  <c r="G923" i="7" s="1"/>
  <c r="G910" i="7"/>
  <c r="G920" i="7" s="1"/>
  <c r="G912" i="7"/>
  <c r="G922" i="7" s="1"/>
  <c r="G911" i="7"/>
  <c r="G921" i="7" s="1"/>
  <c r="G1125" i="7"/>
  <c r="G1130" i="7" s="1"/>
  <c r="F70" i="12" s="1"/>
  <c r="J15" i="12" s="1"/>
  <c r="G927" i="7" l="1"/>
  <c r="G943" i="7" s="1"/>
  <c r="G948" i="7" s="1"/>
  <c r="F66" i="12" s="1"/>
  <c r="N14" i="12" s="1"/>
  <c r="G928" i="7"/>
  <c r="G944" i="7" s="1"/>
  <c r="G949" i="7" s="1"/>
  <c r="F67" i="12" s="1"/>
  <c r="R14" i="12" s="1"/>
  <c r="R20" i="12" s="1"/>
  <c r="G925" i="7"/>
  <c r="G941" i="7" s="1"/>
  <c r="G946" i="7" s="1"/>
  <c r="F64" i="12" s="1"/>
  <c r="G926" i="7"/>
  <c r="G942" i="7" s="1"/>
  <c r="G947" i="7" s="1"/>
  <c r="F65" i="12" s="1"/>
  <c r="N20" i="12" l="1"/>
  <c r="J14" i="12"/>
  <c r="J20" i="12" s="1"/>
  <c r="G296" i="18"/>
  <c r="G299" i="18" s="1"/>
  <c r="G585" i="18" s="1"/>
  <c r="G589" i="18" s="1"/>
  <c r="G261" i="18" l="1"/>
  <c r="G264" i="18" s="1"/>
  <c r="G378" i="18" s="1"/>
  <c r="G619" i="18"/>
  <c r="G623" i="18" s="1"/>
  <c r="G681" i="18" s="1"/>
  <c r="G611" i="18"/>
  <c r="G615" i="18" s="1"/>
  <c r="G654" i="18" s="1"/>
  <c r="G317" i="18"/>
  <c r="J264" i="18" l="1"/>
  <c r="F82" i="12"/>
  <c r="G320" i="18"/>
  <c r="G383" i="18"/>
  <c r="G394" i="18" s="1"/>
  <c r="G399" i="18" s="1"/>
  <c r="F96" i="12" s="1"/>
  <c r="S9" i="12" s="1"/>
  <c r="G381" i="18"/>
  <c r="G392" i="18" s="1"/>
  <c r="G397" i="18" s="1"/>
  <c r="F94" i="12" s="1"/>
  <c r="G382" i="18"/>
  <c r="G393" i="18" s="1"/>
  <c r="G398" i="18" s="1"/>
  <c r="F95" i="12" s="1"/>
  <c r="O9" i="12" s="1"/>
  <c r="G380" i="18"/>
  <c r="G391" i="18" s="1"/>
  <c r="G396" i="18" s="1"/>
  <c r="F93" i="12" s="1"/>
  <c r="G657" i="18"/>
  <c r="G717" i="18" s="1"/>
  <c r="G658" i="18"/>
  <c r="G718" i="18" s="1"/>
  <c r="G656" i="18"/>
  <c r="G716" i="18" s="1"/>
  <c r="G659" i="18"/>
  <c r="G719" i="18" s="1"/>
  <c r="G683" i="18"/>
  <c r="G721" i="18" s="1"/>
  <c r="G685" i="18"/>
  <c r="G723" i="18" s="1"/>
  <c r="G686" i="18"/>
  <c r="G724" i="18" s="1"/>
  <c r="G684" i="18"/>
  <c r="G722" i="18" s="1"/>
  <c r="G9" i="12" l="1"/>
  <c r="G20" i="12" s="1"/>
  <c r="K9" i="12"/>
  <c r="G732" i="18"/>
  <c r="F109" i="12" s="1"/>
  <c r="G731" i="18"/>
  <c r="F108" i="12" s="1"/>
  <c r="G733" i="18"/>
  <c r="F110" i="12" s="1"/>
  <c r="O12" i="12" s="1"/>
  <c r="G734" i="18"/>
  <c r="F111" i="12" s="1"/>
  <c r="S12" i="12" s="1"/>
  <c r="G324" i="18"/>
  <c r="G829" i="18" s="1"/>
  <c r="G327" i="18"/>
  <c r="C107" i="4" l="1"/>
  <c r="C106" i="4"/>
  <c r="K12" i="12"/>
  <c r="G831" i="18"/>
  <c r="G835" i="18" s="1"/>
  <c r="G898" i="18" s="1"/>
  <c r="G832" i="18"/>
  <c r="G836" i="18" l="1"/>
  <c r="G934" i="18" s="1"/>
  <c r="G902" i="18"/>
  <c r="G1014" i="18" s="1"/>
  <c r="G900" i="18"/>
  <c r="G1012" i="18" s="1"/>
  <c r="G901" i="18"/>
  <c r="G1013" i="18" s="1"/>
  <c r="G903" i="18"/>
  <c r="G1015" i="18" s="1"/>
  <c r="G926" i="18" l="1"/>
  <c r="G928" i="18" s="1"/>
  <c r="G1017" i="18" s="1"/>
  <c r="G941" i="18"/>
  <c r="G963" i="18" s="1"/>
  <c r="G942" i="18"/>
  <c r="G989" i="18" s="1"/>
  <c r="G930" i="18" l="1"/>
  <c r="G1019" i="18" s="1"/>
  <c r="G929" i="18"/>
  <c r="G1018" i="18" s="1"/>
  <c r="G931" i="18"/>
  <c r="G1020" i="18" s="1"/>
  <c r="G966" i="18"/>
  <c r="G997" i="18" s="1"/>
  <c r="G968" i="18"/>
  <c r="G999" i="18" s="1"/>
  <c r="G965" i="18"/>
  <c r="G996" i="18" s="1"/>
  <c r="G967" i="18"/>
  <c r="G998" i="18" s="1"/>
  <c r="G991" i="18"/>
  <c r="G1001" i="18" s="1"/>
  <c r="G993" i="18"/>
  <c r="G1003" i="18" s="1"/>
  <c r="G992" i="18"/>
  <c r="G1002" i="18" s="1"/>
  <c r="G994" i="18"/>
  <c r="G1004" i="18" s="1"/>
  <c r="G1009" i="18" l="1"/>
  <c r="G1025" i="18" s="1"/>
  <c r="G1030" i="18" s="1"/>
  <c r="F121" i="12" s="1"/>
  <c r="S14" i="12" s="1"/>
  <c r="S20" i="12" s="1"/>
  <c r="G1008" i="18"/>
  <c r="G1024" i="18" s="1"/>
  <c r="G1029" i="18" s="1"/>
  <c r="F120" i="12" s="1"/>
  <c r="G1006" i="18"/>
  <c r="G1022" i="18" s="1"/>
  <c r="G1027" i="18" s="1"/>
  <c r="F118" i="12" s="1"/>
  <c r="G1007" i="18"/>
  <c r="G1023" i="18" s="1"/>
  <c r="G1028" i="18" s="1"/>
  <c r="F119" i="12" s="1"/>
  <c r="N106" i="4" l="1"/>
  <c r="N107" i="4"/>
  <c r="O14" i="12"/>
  <c r="O20" i="12" s="1"/>
  <c r="J109" i="4" s="1"/>
  <c r="F196" i="12"/>
  <c r="K14" i="12"/>
  <c r="K20" i="12" s="1"/>
  <c r="F106" i="4" l="1"/>
  <c r="F108" i="4"/>
  <c r="J106" i="4"/>
  <c r="J107" i="4"/>
</calcChain>
</file>

<file path=xl/sharedStrings.xml><?xml version="1.0" encoding="utf-8"?>
<sst xmlns="http://schemas.openxmlformats.org/spreadsheetml/2006/main" count="3693" uniqueCount="1635">
  <si>
    <t>Legenda</t>
  </si>
  <si>
    <t>In te vullen door gebruiker</t>
  </si>
  <si>
    <t>Niet wijzigen</t>
  </si>
  <si>
    <t>Er is een error</t>
  </si>
  <si>
    <t>Algemene uitleg</t>
  </si>
  <si>
    <t>Invulmodel</t>
  </si>
  <si>
    <t>Gemeente</t>
  </si>
  <si>
    <t>Amsterdam</t>
  </si>
  <si>
    <t>Stickers</t>
  </si>
  <si>
    <t>%</t>
  </si>
  <si>
    <t>Informatievoorziening</t>
  </si>
  <si>
    <t>Transport</t>
  </si>
  <si>
    <t>km</t>
  </si>
  <si>
    <t>Gemiddelde afstand regionale postbode -&gt; voordeur</t>
  </si>
  <si>
    <t>Vervoersmiddel X</t>
  </si>
  <si>
    <t>Vervoersmiddel Y</t>
  </si>
  <si>
    <t>Vervoersmiddel Z</t>
  </si>
  <si>
    <t>Afvalverwerking</t>
  </si>
  <si>
    <t>Plastic</t>
  </si>
  <si>
    <t>Resultaten</t>
  </si>
  <si>
    <t>Inputs</t>
  </si>
  <si>
    <t>Naam variabele</t>
  </si>
  <si>
    <t>Waarde</t>
  </si>
  <si>
    <t>Eenheid</t>
  </si>
  <si>
    <t>Bron</t>
  </si>
  <si>
    <t>Link</t>
  </si>
  <si>
    <t>Assumpties</t>
  </si>
  <si>
    <t>Overige opmerkingen</t>
  </si>
  <si>
    <t>gram / week</t>
  </si>
  <si>
    <t>Productie stickers en informatievoorziening</t>
  </si>
  <si>
    <t>gram</t>
  </si>
  <si>
    <t>Gewicht papier (envelop) Ja/Ja-sticker</t>
  </si>
  <si>
    <t>Impact vervoersmiddelen</t>
  </si>
  <si>
    <t>kg CO2-eq / tonkm</t>
  </si>
  <si>
    <t>Berekeningen</t>
  </si>
  <si>
    <t>Label</t>
  </si>
  <si>
    <t>Opmerking</t>
  </si>
  <si>
    <t>Inputs per gemeente</t>
  </si>
  <si>
    <t>Rotterdam</t>
  </si>
  <si>
    <t>Venlo</t>
  </si>
  <si>
    <t>Vlaardingen</t>
  </si>
  <si>
    <t>Vervoersmiddelen</t>
  </si>
  <si>
    <t>Vervoersmiddel Q</t>
  </si>
  <si>
    <t>Vervoersmiddel R</t>
  </si>
  <si>
    <t>huishoudens</t>
  </si>
  <si>
    <t>% huishoudens Nee/Nee-sticker</t>
  </si>
  <si>
    <t>% huishoudens Ja/Ja-sticker</t>
  </si>
  <si>
    <t>% huishoudens Nee/Ja-sticker</t>
  </si>
  <si>
    <t>% huishoudens geen sticker</t>
  </si>
  <si>
    <t xml:space="preserve">Productie </t>
  </si>
  <si>
    <t>Gemiddelde wekelijkse gewicht aan reclamefolders (met aanmelding Kiesjefolders.nl) - papier</t>
  </si>
  <si>
    <t>Gemiddelde wekelijkse gewicht aan reclamefolders (met aanmelding Kiesjefolders.nl) - plastic</t>
  </si>
  <si>
    <t>Gemeenten</t>
  </si>
  <si>
    <t>Aa en Hunze</t>
  </si>
  <si>
    <t>Aalsmeer</t>
  </si>
  <si>
    <t>Aalten</t>
  </si>
  <si>
    <t>Achtkarspelen</t>
  </si>
  <si>
    <t>Alblasserdam</t>
  </si>
  <si>
    <t>Albrandswaard</t>
  </si>
  <si>
    <t>Alkmaar</t>
  </si>
  <si>
    <t>Almelo</t>
  </si>
  <si>
    <t>Almere</t>
  </si>
  <si>
    <t>Alphen aan den Rijn</t>
  </si>
  <si>
    <t>Alphen-Chaam</t>
  </si>
  <si>
    <t>Altena</t>
  </si>
  <si>
    <t>Ameland</t>
  </si>
  <si>
    <t>Amersfoort</t>
  </si>
  <si>
    <t>Amstelveen</t>
  </si>
  <si>
    <t>Apeldoorn</t>
  </si>
  <si>
    <t>Appingedam</t>
  </si>
  <si>
    <t>Arnhem</t>
  </si>
  <si>
    <t>Assen</t>
  </si>
  <si>
    <t>Asten</t>
  </si>
  <si>
    <t>Baarle-Nassau</t>
  </si>
  <si>
    <t>Baarn</t>
  </si>
  <si>
    <t>Barendrecht</t>
  </si>
  <si>
    <t>Barneveld</t>
  </si>
  <si>
    <t>Beek (L.)</t>
  </si>
  <si>
    <t>Beekdaelen</t>
  </si>
  <si>
    <t>Beemster</t>
  </si>
  <si>
    <t>Beesel</t>
  </si>
  <si>
    <t>Berg en Dal</t>
  </si>
  <si>
    <t>Bergeijk</t>
  </si>
  <si>
    <t>Bergen (L.)</t>
  </si>
  <si>
    <t>Bergen (NH.)</t>
  </si>
  <si>
    <t>Bergen op Zoom</t>
  </si>
  <si>
    <t>Berkelland</t>
  </si>
  <si>
    <t>Bernheze</t>
  </si>
  <si>
    <t>Best</t>
  </si>
  <si>
    <t>Beuningen</t>
  </si>
  <si>
    <t>Beverwijk</t>
  </si>
  <si>
    <t>De Bilt</t>
  </si>
  <si>
    <t>Bladel</t>
  </si>
  <si>
    <t>Blaricum</t>
  </si>
  <si>
    <t>Bloemendaal</t>
  </si>
  <si>
    <t>Bodegraven-Reeuwijk</t>
  </si>
  <si>
    <t>Boekel</t>
  </si>
  <si>
    <t>Borger-Odoorn</t>
  </si>
  <si>
    <t>Borne</t>
  </si>
  <si>
    <t>Borsele</t>
  </si>
  <si>
    <t>Boxmeer</t>
  </si>
  <si>
    <t>Boxtel</t>
  </si>
  <si>
    <t>Breda</t>
  </si>
  <si>
    <t>Brielle</t>
  </si>
  <si>
    <t>Bronckhorst</t>
  </si>
  <si>
    <t>Brummen</t>
  </si>
  <si>
    <t>Brunssum</t>
  </si>
  <si>
    <t>Bunnik</t>
  </si>
  <si>
    <t>Bunschoten</t>
  </si>
  <si>
    <t>Buren</t>
  </si>
  <si>
    <t>Capelle aan den IJssel</t>
  </si>
  <si>
    <t>Castricum</t>
  </si>
  <si>
    <t>Coevorden</t>
  </si>
  <si>
    <t>Cranendonck</t>
  </si>
  <si>
    <t>Cuijk</t>
  </si>
  <si>
    <t>Culemborg</t>
  </si>
  <si>
    <t>Dalfsen</t>
  </si>
  <si>
    <t>Dantumadiel</t>
  </si>
  <si>
    <t>Delft</t>
  </si>
  <si>
    <t>Delfzijl</t>
  </si>
  <si>
    <t>Deurne</t>
  </si>
  <si>
    <t>Deventer</t>
  </si>
  <si>
    <t>Diemen</t>
  </si>
  <si>
    <t>Dinkelland</t>
  </si>
  <si>
    <t>Doesburg</t>
  </si>
  <si>
    <t>Doetinchem</t>
  </si>
  <si>
    <t>Dongen</t>
  </si>
  <si>
    <t>Dordrecht</t>
  </si>
  <si>
    <t>Drechterland</t>
  </si>
  <si>
    <t>Drimmelen</t>
  </si>
  <si>
    <t>Dronten</t>
  </si>
  <si>
    <t>Druten</t>
  </si>
  <si>
    <t>Duiven</t>
  </si>
  <si>
    <t>Echt-Susteren</t>
  </si>
  <si>
    <t>Edam-Volendam</t>
  </si>
  <si>
    <t>Ede</t>
  </si>
  <si>
    <t>Eemnes</t>
  </si>
  <si>
    <t>Eersel</t>
  </si>
  <si>
    <t>Eijsden-Margraten</t>
  </si>
  <si>
    <t>Eindhoven</t>
  </si>
  <si>
    <t>Elburg</t>
  </si>
  <si>
    <t>Emmen</t>
  </si>
  <si>
    <t>Enkhuizen</t>
  </si>
  <si>
    <t>Enschede</t>
  </si>
  <si>
    <t>Epe</t>
  </si>
  <si>
    <t>Ermelo</t>
  </si>
  <si>
    <t>Etten-Leur</t>
  </si>
  <si>
    <t>De Fryske Marren</t>
  </si>
  <si>
    <t>Geertruidenberg</t>
  </si>
  <si>
    <t>Geldrop-Mierlo</t>
  </si>
  <si>
    <t>Gemert-Bakel</t>
  </si>
  <si>
    <t>Gennep</t>
  </si>
  <si>
    <t>Gilze en Rijen</t>
  </si>
  <si>
    <t>Goeree-Overflakkee</t>
  </si>
  <si>
    <t>Goes</t>
  </si>
  <si>
    <t>Goirle</t>
  </si>
  <si>
    <t>Gooise Meren</t>
  </si>
  <si>
    <t>Gorinchem</t>
  </si>
  <si>
    <t>Gouda</t>
  </si>
  <si>
    <t>Grave</t>
  </si>
  <si>
    <t>'s-Gravenhage (gemeente)</t>
  </si>
  <si>
    <t>Groningen (gemeente)</t>
  </si>
  <si>
    <t>Gulpen-Wittem</t>
  </si>
  <si>
    <t>Haaksbergen</t>
  </si>
  <si>
    <t>Haaren</t>
  </si>
  <si>
    <t>Haarlem</t>
  </si>
  <si>
    <t>Haarlemmermeer</t>
  </si>
  <si>
    <t>Halderberge</t>
  </si>
  <si>
    <t>Hardenberg</t>
  </si>
  <si>
    <t>Harderwijk</t>
  </si>
  <si>
    <t>Hardinxveld-Giessendam</t>
  </si>
  <si>
    <t>Harlingen</t>
  </si>
  <si>
    <t>Hattem</t>
  </si>
  <si>
    <t>Heemskerk</t>
  </si>
  <si>
    <t>Heemstede</t>
  </si>
  <si>
    <t>Heerde</t>
  </si>
  <si>
    <t>Heerenveen</t>
  </si>
  <si>
    <t>Heerhugowaard</t>
  </si>
  <si>
    <t>Heerlen</t>
  </si>
  <si>
    <t>Heeze-Leende</t>
  </si>
  <si>
    <t>Heiloo</t>
  </si>
  <si>
    <t>Den Helder</t>
  </si>
  <si>
    <t>Hellendoorn</t>
  </si>
  <si>
    <t>Hellevoetsluis</t>
  </si>
  <si>
    <t>Helmond</t>
  </si>
  <si>
    <t>Hendrik-Ido-Ambacht</t>
  </si>
  <si>
    <t>Hengelo (O.)</t>
  </si>
  <si>
    <t>'s-Hertogenbosch</t>
  </si>
  <si>
    <t>Heumen</t>
  </si>
  <si>
    <t>Heusden</t>
  </si>
  <si>
    <t>Hillegom</t>
  </si>
  <si>
    <t>Hilvarenbeek</t>
  </si>
  <si>
    <t>Hilversum</t>
  </si>
  <si>
    <t>Hoeksche Waard</t>
  </si>
  <si>
    <t>Hof van Twente</t>
  </si>
  <si>
    <t>Het Hogeland</t>
  </si>
  <si>
    <t>Hollands Kroon</t>
  </si>
  <si>
    <t>Hoogeveen</t>
  </si>
  <si>
    <t>Hoorn</t>
  </si>
  <si>
    <t>Horst aan de Maas</t>
  </si>
  <si>
    <t>Houten</t>
  </si>
  <si>
    <t>Huizen</t>
  </si>
  <si>
    <t>Hulst</t>
  </si>
  <si>
    <t>IJsselstein</t>
  </si>
  <si>
    <t>Kaag en Braassem</t>
  </si>
  <si>
    <t>Kampen</t>
  </si>
  <si>
    <t>Kapelle</t>
  </si>
  <si>
    <t>Katwijk</t>
  </si>
  <si>
    <t>Kerkrade</t>
  </si>
  <si>
    <t>Koggenland</t>
  </si>
  <si>
    <t>Krimpen aan den IJssel</t>
  </si>
  <si>
    <t>Krimpenerwaard</t>
  </si>
  <si>
    <t>Laarbeek</t>
  </si>
  <si>
    <t>Landerd</t>
  </si>
  <si>
    <t>Landgraaf</t>
  </si>
  <si>
    <t>Landsmeer</t>
  </si>
  <si>
    <t>Langedijk</t>
  </si>
  <si>
    <t>Lansingerland</t>
  </si>
  <si>
    <t>Laren (NH.)</t>
  </si>
  <si>
    <t>Leeuwarden</t>
  </si>
  <si>
    <t>Leiden</t>
  </si>
  <si>
    <t>Leiderdorp</t>
  </si>
  <si>
    <t>Leidschendam-Voorburg</t>
  </si>
  <si>
    <t>Lelystad</t>
  </si>
  <si>
    <t>Leudal</t>
  </si>
  <si>
    <t>Leusden</t>
  </si>
  <si>
    <t>Lingewaard</t>
  </si>
  <si>
    <t>Lisse</t>
  </si>
  <si>
    <t>Lochem</t>
  </si>
  <si>
    <t>Loon op Zand</t>
  </si>
  <si>
    <t>Lopik</t>
  </si>
  <si>
    <t>Loppersum</t>
  </si>
  <si>
    <t>Losser</t>
  </si>
  <si>
    <t>Maasdriel</t>
  </si>
  <si>
    <t>Maasgouw</t>
  </si>
  <si>
    <t>Maassluis</t>
  </si>
  <si>
    <t>Maastricht</t>
  </si>
  <si>
    <t>Medemblik</t>
  </si>
  <si>
    <t>Meerssen</t>
  </si>
  <si>
    <t>Meierijstad</t>
  </si>
  <si>
    <t>Meppel</t>
  </si>
  <si>
    <t>Middelburg (Z.)</t>
  </si>
  <si>
    <t>Midden-Delfland</t>
  </si>
  <si>
    <t>Midden-Drenthe</t>
  </si>
  <si>
    <t>Midden-Groningen</t>
  </si>
  <si>
    <t>Mill en Sint Hubert</t>
  </si>
  <si>
    <t>Moerdijk</t>
  </si>
  <si>
    <t>Molenlanden</t>
  </si>
  <si>
    <t>Montferland</t>
  </si>
  <si>
    <t>Montfoort</t>
  </si>
  <si>
    <t>Mook en Middelaar</t>
  </si>
  <si>
    <t>Neder-Betuwe</t>
  </si>
  <si>
    <t>Nederweert</t>
  </si>
  <si>
    <t>Nieuwegein</t>
  </si>
  <si>
    <t>Nieuwkoop</t>
  </si>
  <si>
    <t>Nijkerk</t>
  </si>
  <si>
    <t>Nijmegen</t>
  </si>
  <si>
    <t>Nissewaard</t>
  </si>
  <si>
    <t>Noardeast-Fryslân</t>
  </si>
  <si>
    <t>Noord-Beveland</t>
  </si>
  <si>
    <t>Noordenveld</t>
  </si>
  <si>
    <t>Noordoostpolder</t>
  </si>
  <si>
    <t>Noordwijk</t>
  </si>
  <si>
    <t>Nuenen, Gerwen en Nederwetten</t>
  </si>
  <si>
    <t>Nunspeet</t>
  </si>
  <si>
    <t>Oegstgeest</t>
  </si>
  <si>
    <t>Oirschot</t>
  </si>
  <si>
    <t>Oisterwijk</t>
  </si>
  <si>
    <t>Oldambt</t>
  </si>
  <si>
    <t>Oldebroek</t>
  </si>
  <si>
    <t>Oldenzaal</t>
  </si>
  <si>
    <t>Olst-Wijhe</t>
  </si>
  <si>
    <t>Ommen</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</si>
  <si>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</si>
  <si>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</si>
  <si>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</si>
  <si>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</si>
  <si>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</si>
  <si>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</si>
  <si>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</si>
  <si>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</si>
  <si>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</si>
  <si>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</si>
  <si>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</si>
  <si>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</si>
  <si>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</si>
  <si>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</si>
  <si>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</si>
  <si>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</si>
  <si>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</si>
  <si>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</si>
  <si>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</si>
  <si>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</si>
  <si>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</si>
  <si>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</si>
  <si>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</si>
  <si>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</si>
  <si>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</si>
  <si>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Rijssen-Holten</t>
  </si>
  <si>
    <t>Rijswijk (ZH.)</t>
  </si>
  <si>
    <t>Roerdalen</t>
  </si>
  <si>
    <t>Roermond</t>
  </si>
  <si>
    <t>De Ronde Venen</t>
  </si>
  <si>
    <t>Roosendaal</t>
  </si>
  <si>
    <t>Rozendaal</t>
  </si>
  <si>
    <t>Rucphen</t>
  </si>
  <si>
    <t>Schagen</t>
  </si>
  <si>
    <t>Scherpenzeel</t>
  </si>
  <si>
    <t>Schiedam</t>
  </si>
  <si>
    <t>Schiermonnikoog</t>
  </si>
  <si>
    <t>Schouwen-Duiveland</t>
  </si>
  <si>
    <t>Simpelveld</t>
  </si>
  <si>
    <t>Sint Anthonis</t>
  </si>
  <si>
    <t>Sint-Michielsgestel</t>
  </si>
  <si>
    <t>Sittard-Geleen</t>
  </si>
  <si>
    <t>Sliedrecht</t>
  </si>
  <si>
    <t>Sluis</t>
  </si>
  <si>
    <t>Smallingerland</t>
  </si>
  <si>
    <t>Soest</t>
  </si>
  <si>
    <t>Someren</t>
  </si>
  <si>
    <t>Son en Breugel</t>
  </si>
  <si>
    <t>Stadskanaal</t>
  </si>
  <si>
    <t>Staphorst</t>
  </si>
  <si>
    <t>Stede Broec</t>
  </si>
  <si>
    <t>Steenbergen</t>
  </si>
  <si>
    <t>Steenwijkerland</t>
  </si>
  <si>
    <t>Stein (L.)</t>
  </si>
  <si>
    <t>Stichtse Vecht</t>
  </si>
  <si>
    <t>Súdwest-Fryslân</t>
  </si>
  <si>
    <t>Terneuzen</t>
  </si>
  <si>
    <t>Terschelling</t>
  </si>
  <si>
    <t>Texel</t>
  </si>
  <si>
    <t>Teylingen</t>
  </si>
  <si>
    <t>Tholen</t>
  </si>
  <si>
    <t>Tiel</t>
  </si>
  <si>
    <t>Tilburg</t>
  </si>
  <si>
    <t>Tubbergen</t>
  </si>
  <si>
    <t>Twenterand</t>
  </si>
  <si>
    <t>Tynaarlo</t>
  </si>
  <si>
    <t>Tytsjerksteradiel</t>
  </si>
  <si>
    <t>Uden</t>
  </si>
  <si>
    <t>Uitgeest</t>
  </si>
  <si>
    <t>Uithoorn</t>
  </si>
  <si>
    <t>Urk</t>
  </si>
  <si>
    <t>Utrecht (gemeente)</t>
  </si>
  <si>
    <t>Utrechtse Heuvelrug</t>
  </si>
  <si>
    <t>Vaals</t>
  </si>
  <si>
    <t>Valkenburg aan de Geul</t>
  </si>
  <si>
    <t>Valkenswaard</t>
  </si>
  <si>
    <t>Veendam</t>
  </si>
  <si>
    <t>Veenendaal</t>
  </si>
  <si>
    <t>Veere</t>
  </si>
  <si>
    <t>Veldhoven</t>
  </si>
  <si>
    <t>Velsen</t>
  </si>
  <si>
    <t>Venray</t>
  </si>
  <si>
    <t>Vijfheerenlanden</t>
  </si>
  <si>
    <t>Vlieland</t>
  </si>
  <si>
    <t>Vlissingen</t>
  </si>
  <si>
    <t>Voerendaal</t>
  </si>
  <si>
    <t>Voorschoten</t>
  </si>
  <si>
    <t>Voorst</t>
  </si>
  <si>
    <t>Vught</t>
  </si>
  <si>
    <t>Waadhoeke</t>
  </si>
  <si>
    <t>Waalre</t>
  </si>
  <si>
    <t>Waalwijk</t>
  </si>
  <si>
    <t>Waddinxveen</t>
  </si>
  <si>
    <t>Wageningen</t>
  </si>
  <si>
    <t>Wassenaar</t>
  </si>
  <si>
    <t>Waterland</t>
  </si>
  <si>
    <t>Weert</t>
  </si>
  <si>
    <t>Weesp</t>
  </si>
  <si>
    <t>West Betuwe</t>
  </si>
  <si>
    <t>West Maas en Waal</t>
  </si>
  <si>
    <t>Westerkwartier</t>
  </si>
  <si>
    <t>Westerveld</t>
  </si>
  <si>
    <t>Westervoort</t>
  </si>
  <si>
    <t>Westerwolde</t>
  </si>
  <si>
    <t>Westland</t>
  </si>
  <si>
    <t>Weststellingwerf</t>
  </si>
  <si>
    <t>Westvoorne</t>
  </si>
  <si>
    <t>Wierden</t>
  </si>
  <si>
    <t>Wijchen</t>
  </si>
  <si>
    <t>Wijdemeren</t>
  </si>
  <si>
    <t>Wijk bij Duurstede</t>
  </si>
  <si>
    <t>Winterswijk</t>
  </si>
  <si>
    <t>Woensdrecht</t>
  </si>
  <si>
    <t>Woerden</t>
  </si>
  <si>
    <t>De Wolden</t>
  </si>
  <si>
    <t>Wormerland</t>
  </si>
  <si>
    <t>Woudenberg</t>
  </si>
  <si>
    <t>Zaanstad</t>
  </si>
  <si>
    <t>Zaltbommel</t>
  </si>
  <si>
    <t>Zandvoort</t>
  </si>
  <si>
    <t>Zeewolde</t>
  </si>
  <si>
    <t>Zeist</t>
  </si>
  <si>
    <t>Zevenaar</t>
  </si>
  <si>
    <t>Zoetermeer</t>
  </si>
  <si>
    <t>Zoeterwoude</t>
  </si>
  <si>
    <t>Zuidplas</t>
  </si>
  <si>
    <t>Zundert</t>
  </si>
  <si>
    <t>Zutphen</t>
  </si>
  <si>
    <t>Zwartewaterland</t>
  </si>
  <si>
    <t>Zwijndrecht</t>
  </si>
  <si>
    <t>Zwolle</t>
  </si>
  <si>
    <t>Aantal particuliere huishoudens</t>
  </si>
  <si>
    <t>Huishoudens</t>
  </si>
  <si>
    <t>Folders</t>
  </si>
  <si>
    <t>-</t>
  </si>
  <si>
    <t>Input</t>
  </si>
  <si>
    <t>Scheiding</t>
  </si>
  <si>
    <t>Transportafstanden</t>
  </si>
  <si>
    <t>Toekomstig systeem</t>
  </si>
  <si>
    <t>Volledig digitaal</t>
  </si>
  <si>
    <t>Te ontvangen van Jeffrey</t>
  </si>
  <si>
    <t>Jeffrey</t>
  </si>
  <si>
    <t>Aantal huishoudens gemeente (beschikbare data)</t>
  </si>
  <si>
    <t>Opt-in (Ja/Ja), incl. huis-aan-huisbladen</t>
  </si>
  <si>
    <t>Opt-in (Ja/Ja), excl. huis-aan-huisbladen</t>
  </si>
  <si>
    <t>Huidige situatie (zelf invullen)</t>
  </si>
  <si>
    <t>Wilt u de gegevens m.b.t. de huidige situatie zelf invullen of wilt u het model dit laten doen?</t>
  </si>
  <si>
    <t>Wekelijkse gewicht aan folders (huishoudens niet aangemeld bij bijv. kiesjefolders.nl)</t>
  </si>
  <si>
    <t>Wekelijkse gewicht aan verpakking (huishoudens niet aangemeld bij bijv. kiesjefolders.nl)</t>
  </si>
  <si>
    <t>Inputs uit dashboard</t>
  </si>
  <si>
    <t>Keuze model laten invullen (=1) of zelf invullen (=2)</t>
  </si>
  <si>
    <t>keuze dashboard</t>
  </si>
  <si>
    <t>Keuze model laten invullen (nee = 0; ja = 1)</t>
  </si>
  <si>
    <t>Keuze zelf invullen (nee = 0; ja = 1)</t>
  </si>
  <si>
    <t>Nee = 0; Ja = 1</t>
  </si>
  <si>
    <t>Door model ingevuld</t>
  </si>
  <si>
    <t>Zelf ingevuld</t>
  </si>
  <si>
    <t>Inputs uit dashboard - huidige situatie</t>
  </si>
  <si>
    <t>Cijfers te gebruiken in berekeningen (afhankelijk van keuze 'model laten invullen' of 'zelf invullen') - huidige situatie</t>
  </si>
  <si>
    <t>Waterbedeffect</t>
  </si>
  <si>
    <t>Wekelijkse gewicht huis-aan-huisbladen</t>
  </si>
  <si>
    <t>Wekelijkse gewicht aan verpakking huis-aan-huisbladen</t>
  </si>
  <si>
    <t>Aantal huishoudens met stickers</t>
  </si>
  <si>
    <t>Aantal huishoudens Nee/Nee-sticker</t>
  </si>
  <si>
    <t>Aantal huishoudens Ja/Ja-sticker</t>
  </si>
  <si>
    <t>Aantal huishoudens Nee/Ja-sticker</t>
  </si>
  <si>
    <t>Aantal huishoudens geen sticker</t>
  </si>
  <si>
    <t xml:space="preserve">Gewicht aan folders </t>
  </si>
  <si>
    <t>Aantal huishoudens selectie folders / Nee</t>
  </si>
  <si>
    <t>Aantal huishoudens Nee / Nee</t>
  </si>
  <si>
    <t>Aantal huishoudens Ja / Ja</t>
  </si>
  <si>
    <t>Aantal huishoudens Nee / Ja</t>
  </si>
  <si>
    <t>Aantal huishoudens selectie folders / Ja</t>
  </si>
  <si>
    <t>Aantal huishoudens zonder sticker</t>
  </si>
  <si>
    <t>Aantal huishoudens per optie</t>
  </si>
  <si>
    <t>Huis-aan-huis, normaal</t>
  </si>
  <si>
    <t>% van plastic huis-aan-huis uit recycled materiaal</t>
  </si>
  <si>
    <t>Aantal huishoudens dat huis-aan-huis ontvangt</t>
  </si>
  <si>
    <t>Conversie</t>
  </si>
  <si>
    <t>Aantal gram per kilo</t>
  </si>
  <si>
    <t>gram / kilo</t>
  </si>
  <si>
    <t>Aantal weken per jaar</t>
  </si>
  <si>
    <t>weken / jaar</t>
  </si>
  <si>
    <t>kg / jaar</t>
  </si>
  <si>
    <t>kg / week</t>
  </si>
  <si>
    <t>Impactcijfers productie</t>
  </si>
  <si>
    <t>Wekelijkse gewicht virgin papier, huis-aan-huis (kg)</t>
  </si>
  <si>
    <t>Wekelijkse gewicht recycled papier, huis-aan-huis (kg)</t>
  </si>
  <si>
    <t>Wekelijkse gewicht virgin plastic, huis-aan-huis (kg)</t>
  </si>
  <si>
    <t>Wekelijkse gewicht recycled plastic, huis-aan-huis (kg)</t>
  </si>
  <si>
    <t>Jaarlijkse gewicht virgin papier, huis-aan-huis (kg)</t>
  </si>
  <si>
    <t>Jaarlijkse gewicht recycled papier, huis-aan-huis (kg)</t>
  </si>
  <si>
    <t>Jaarlijkse gewicht virgin plastic, huis-aan-huis (kg)</t>
  </si>
  <si>
    <t>Jaarlijkse gewicht recycled plastic, huis-aan-huis (kg)</t>
  </si>
  <si>
    <t>Deze wordt met de post verzonden</t>
  </si>
  <si>
    <t>Wekelijkse gewicht, huis-aan-huis</t>
  </si>
  <si>
    <t>https://v36.ecoquery.ecoinvent.org/Details/LCIA/2e56fa6d-476d-4f97-b13e-e23efe72b744/06590a66-662a-4885-8494-ad0cf410f956</t>
  </si>
  <si>
    <t>market for packaging film, low density polyethylene, GLO, (Author: Guillaume Bourgault inactive)</t>
  </si>
  <si>
    <t>m3</t>
  </si>
  <si>
    <t>Impact</t>
  </si>
  <si>
    <t>MJ-eq / kg</t>
  </si>
  <si>
    <t>m3 / kg</t>
  </si>
  <si>
    <t>kg CO2-eq / kg</t>
  </si>
  <si>
    <t>Impact folie per jaar, hernieuwbare energie</t>
  </si>
  <si>
    <t>Impact folie per jaar, niet-hernieuwbare energie</t>
  </si>
  <si>
    <t>Impact folie per jaar, water</t>
  </si>
  <si>
    <t>Impact folie per jaar, GWP100</t>
  </si>
  <si>
    <t>MJ / jaar</t>
  </si>
  <si>
    <t>M3 / jaar</t>
  </si>
  <si>
    <t>kg CO2-eq / jaar</t>
  </si>
  <si>
    <t>market for polyethylene, high density, granulate, recycled, Europe without Switzerland,</t>
  </si>
  <si>
    <t>https://v36.ecoquery.ecoinvent.org/Details/LCIA/46d6549a-05ec-4635-a803-41a6f70a01f0/06590a66-662a-4885-8494-ad0cf410f956</t>
  </si>
  <si>
    <t>extrusion, plastic film, RER</t>
  </si>
  <si>
    <t>https://v36.ecoquery.ecoinvent.org/Details/LCIA/e52043d0-b088-4088-aceb-dbe7cd10d8ea/06590a66-662a-4885-8494-ad0cf410f956</t>
  </si>
  <si>
    <t>Impact papier</t>
  </si>
  <si>
    <t>Impact folie</t>
  </si>
  <si>
    <t>Totaalgewicht</t>
  </si>
  <si>
    <t>Jaarlijkse gewicht virgin papier (kg)</t>
  </si>
  <si>
    <t>Jaarlijkse gewicht recycled papier (kg)</t>
  </si>
  <si>
    <t>Jaarlijkse gewicht virgin plastic (kg)</t>
  </si>
  <si>
    <t>Jaarlijkse gewicht recycled plastic (kg)</t>
  </si>
  <si>
    <t>Productie drukwerk</t>
  </si>
  <si>
    <t>Transport drukwerk</t>
  </si>
  <si>
    <t>Recycling drukwerk</t>
  </si>
  <si>
    <t>Recycling papier</t>
  </si>
  <si>
    <t>Rijnummer (voor hlookup)</t>
  </si>
  <si>
    <t>Aan einde checken dat ik deze inputs niet heb  gebruikt voor berekeningen, maar "Cijfers te gebruiken in berekeningen"</t>
  </si>
  <si>
    <t>Jaarlijks gewicht papier, virgin+recycled (kg)</t>
  </si>
  <si>
    <t>Jaarlijks gewicht plastic, virgin+recycled (kg)</t>
  </si>
  <si>
    <t>Jaarlijks totaalgewicht (kg)</t>
  </si>
  <si>
    <t>Recycling</t>
  </si>
  <si>
    <t>Restafval -&gt; verbranding</t>
  </si>
  <si>
    <t>treatment of waste graphical paper, municipal incineration with fly ash extraction, CH</t>
  </si>
  <si>
    <t>https://v36.ecoquery.ecoinvent.org/Details/LCIA/0686600f-491b-45dc-b964-569181325aa0/06590a66-662a-4885-8494-ad0cf410f956</t>
  </si>
  <si>
    <t>Elektriciteitsproductie, verbranding papier</t>
  </si>
  <si>
    <t>Warmteproductie, verbranding papier</t>
  </si>
  <si>
    <t>Verbranding, grafisch papier, hernieuwbare energie, biomassa</t>
  </si>
  <si>
    <t>Verbranding, grafisch papier, hernieuwbare energie, geothermie</t>
  </si>
  <si>
    <t>Verbranding, grafisch papier, hernieuwbare energie, zon</t>
  </si>
  <si>
    <t>Verbranding, grafisch papier, hernieuwbare energie, water</t>
  </si>
  <si>
    <t>Verbranding, grafisch papier, hernieuwbare energie, wind</t>
  </si>
  <si>
    <t>Verbranding, grafisch papier, niet-hernieuwbare energie, fossiel</t>
  </si>
  <si>
    <t>Verbranding, grafisch papier, niet-hernieuwbare energie, nucleair</t>
  </si>
  <si>
    <t>Verbranding, grafisch papier, niet-hernieuwbare energie, oerbos</t>
  </si>
  <si>
    <t>Verbranding, grafisch papier, water</t>
  </si>
  <si>
    <t>Verbranding, grafisch papier, GWP100</t>
  </si>
  <si>
    <t>MJ / kg</t>
  </si>
  <si>
    <t>Papierverwerking</t>
  </si>
  <si>
    <t>Per huishouden</t>
  </si>
  <si>
    <t>Wekelijkse gewicht huis-aan-huisbladen, per hh</t>
  </si>
  <si>
    <t>Wekelijkse gewicht aan verpakking huis-aan-huisbladen, per hh</t>
  </si>
  <si>
    <t>g / week</t>
  </si>
  <si>
    <t>Virgin bedrukt papier, hernieuwbare energie, biomassa</t>
  </si>
  <si>
    <t>Virgin bedrukt papier, hernieuwbare energie, geothermie</t>
  </si>
  <si>
    <t>Virgin bedrukt papier, hernieuwbare energie, zon</t>
  </si>
  <si>
    <t>Virgin bedrukt papier, hernieuwbare energie, water</t>
  </si>
  <si>
    <t>Virgin bedrukt papier, hernieuwbare energie, wind</t>
  </si>
  <si>
    <t>Virgin bedrukt papier, niet-hernieuwbare energie, fossiel</t>
  </si>
  <si>
    <t>Virgin bedrukt papier, niet-hernieuwbare energie, nucleair</t>
  </si>
  <si>
    <t>Virgin bedrukt papier, niet-hernieuwbare energie, oerbos</t>
  </si>
  <si>
    <t>Virgin bedrukt papier, water</t>
  </si>
  <si>
    <t>Virgin bedrukt papier, GWP100</t>
  </si>
  <si>
    <t>Papier, folders</t>
  </si>
  <si>
    <t>Papier, huis-aan-huis</t>
  </si>
  <si>
    <t>Virgin</t>
  </si>
  <si>
    <t>Recycled</t>
  </si>
  <si>
    <t>Recycled, PE granulaatproductie</t>
  </si>
  <si>
    <t xml:space="preserve">Recycled, PE extrusie </t>
  </si>
  <si>
    <t>Recycled bedrukt krantenpapier, hernieuwbare energie, biomassa</t>
  </si>
  <si>
    <t>Recycled bedrukt krantenpapier, hernieuwbare energie, geothermie</t>
  </si>
  <si>
    <t>Recycled bedrukt krantenpapier, hernieuwbare energie, zon</t>
  </si>
  <si>
    <t>Recycled bedrukt krantenpapier, hernieuwbare energie, water</t>
  </si>
  <si>
    <t>Recycled bedrukt krantenpapier, hernieuwbare energie, wind</t>
  </si>
  <si>
    <t>Recycled bedrukt krantenpapier, niet-hernieuwbare energie, fossiel</t>
  </si>
  <si>
    <t>Recycled bedrukt krantenpapier, niet-hernieuwbare energie, nucleair</t>
  </si>
  <si>
    <t>Recycled bedrukt krantenpapier, niet-hernieuwbare energie, oerbos</t>
  </si>
  <si>
    <t>Recycled bedrukt krantenpapier, water</t>
  </si>
  <si>
    <t>Recycled bedrukt krantenpapier, GWP100</t>
  </si>
  <si>
    <t>https://v36.ecoquery.ecoinvent.org/Details/LCIA/615e0733-85fa-4a40-8ed4-d77692a58f9d/06590a66-662a-4885-8494-ad0cf410f956</t>
  </si>
  <si>
    <t>Virgin, HAH</t>
  </si>
  <si>
    <t>paper production, newsprint, recycled, Europe without Switzerland, (Author: Bo Weidema inactive)</t>
  </si>
  <si>
    <t>Recycled, HAH</t>
  </si>
  <si>
    <t>Virgin krantenpapier, HAH., hernieuwbare energie</t>
  </si>
  <si>
    <t>Virgin krantenpapier, HAH., niet-hernieuwbare energie</t>
  </si>
  <si>
    <t>Virgin krantenpapier, HAH., water</t>
  </si>
  <si>
    <t>Virgin krantenpapier, HAH., GWP100</t>
  </si>
  <si>
    <t>Impact Virgin krantenpapier, HAH. per jaar, hernieuwbare energie</t>
  </si>
  <si>
    <t>Impact Virgin krantenpapier, HAH. per jaar, niet-hernieuwbare energie</t>
  </si>
  <si>
    <t>Impact Virgin krantenpapier, HAH. per jaar, water</t>
  </si>
  <si>
    <t>Impact Virgin krantenpapier, HAH. per jaar, GWP100</t>
  </si>
  <si>
    <t>Gerecycled krantenpapier, HAH., hernieuwbare energie</t>
  </si>
  <si>
    <t>Gerecycled krantenpapier, HAH., niet-hernieuwbare energie</t>
  </si>
  <si>
    <t>Gerecycled krantenpapier, HAH., water</t>
  </si>
  <si>
    <t>Gerecycled krantenpapier, HAH., GWP100</t>
  </si>
  <si>
    <t>Impact Gerecycled krantenpapier, HAH. per jaar, hernieuwbare energie</t>
  </si>
  <si>
    <t>Impact Gerecycled krantenpapier, HAH. per jaar, niet-hernieuwbare energie</t>
  </si>
  <si>
    <t>Impact Gerecycled krantenpapier, HAH. per jaar, water</t>
  </si>
  <si>
    <t>Impact Gerecycled krantenpapier, HAH. per jaar, GWP100</t>
  </si>
  <si>
    <t xml:space="preserve">Impact papier, ong. recl. </t>
  </si>
  <si>
    <t>Impact, HAH</t>
  </si>
  <si>
    <t>Impact papier, HAH. per jaar, hernieuwbare energie</t>
  </si>
  <si>
    <t>Impact papier, HAH. per jaar, niet-hernieuwbare energie</t>
  </si>
  <si>
    <t>Impact papier, HAH. per jaar, water</t>
  </si>
  <si>
    <t>Impact papier, HAH. per jaar, GWP100</t>
  </si>
  <si>
    <t>Elektriciteitsproductie NL, hernieuwbare energie, biomassa</t>
  </si>
  <si>
    <t>Elektriciteitsproductie NL, hernieuwbare energie, geothermie</t>
  </si>
  <si>
    <t>Elektriciteitsproductie NL, hernieuwbare energie, zon</t>
  </si>
  <si>
    <t>Elektriciteitsproductie NL, hernieuwbare energie, water</t>
  </si>
  <si>
    <t>Elektriciteitsproductie NL, hernieuwbare energie, wind</t>
  </si>
  <si>
    <t>Elektriciteitsproductie NL, niet-hernieuwbare energie, fossiel</t>
  </si>
  <si>
    <t>Elektriciteitsproductie NL, niet-hernieuwbare energie, nucleair</t>
  </si>
  <si>
    <t>Elektriciteitsproductie NL, niet-hernieuwbare energie, oerbos</t>
  </si>
  <si>
    <t>Elektriciteitsproductie NL, water</t>
  </si>
  <si>
    <t>Elektriciteitsproductie NL, GWP100</t>
  </si>
  <si>
    <t>MJ-eq / kwh</t>
  </si>
  <si>
    <t>m3 / kwh</t>
  </si>
  <si>
    <t>kg CO2-eq / kwh</t>
  </si>
  <si>
    <t>Conversie MJ naar kwh</t>
  </si>
  <si>
    <t>kwh / MJ</t>
  </si>
  <si>
    <t>heat and power co-generation, natural gas, conventional power plant, 100MW electrical, NL, (Author: Karin Treyer active)</t>
  </si>
  <si>
    <t>https://v36.ecoquery.ecoinvent.org/Details/LCIA/41830679-e276-469c-bc4e-42a3fdcb0ff3/06590a66-662a-4885-8494-ad0cf410f956</t>
  </si>
  <si>
    <t>Plasticverwerking</t>
  </si>
  <si>
    <t>Verbranding, plastic, hernieuwbare energie, biomassa</t>
  </si>
  <si>
    <t>Verbranding, plastic, hernieuwbare energie, geothermie</t>
  </si>
  <si>
    <t>Verbranding, plastic, hernieuwbare energie, zon</t>
  </si>
  <si>
    <t>Verbranding, plastic, hernieuwbare energie, water</t>
  </si>
  <si>
    <t>Verbranding, plastic, hernieuwbare energie, wind</t>
  </si>
  <si>
    <t>Verbranding, plastic, niet-hernieuwbare energie, fossiel</t>
  </si>
  <si>
    <t>Verbranding, plastic, niet-hernieuwbare energie, nucleair</t>
  </si>
  <si>
    <t>Verbranding, plastic, niet-hernieuwbare energie, oerbos</t>
  </si>
  <si>
    <t>Verbranding, plastic, water</t>
  </si>
  <si>
    <t>Verbranding, plastic, GWP100</t>
  </si>
  <si>
    <t>treatment of waste plastic, mixture, municipal incineration, RoW, (Author: Gabor Doka active)</t>
  </si>
  <si>
    <t>https://v36.ecoquery.ecoinvent.org/Details/LCIA/dc2b5455-68e4-4996-935f-4b0ae1424862/06590a66-662a-4885-8494-ad0cf410f956</t>
  </si>
  <si>
    <t>Elektriciteitsproductie, verbranding plastic</t>
  </si>
  <si>
    <t>Warmteproductie, verbranding plastic</t>
  </si>
  <si>
    <t>High density, i.p.v. low density. Geen data over recycled low density</t>
  </si>
  <si>
    <t>Vermeden virgin granulaatproductie, hernieuwbare energie, biomassa</t>
  </si>
  <si>
    <t>Vermeden virgin granulaatproductie, hernieuwbare energie, geothermie</t>
  </si>
  <si>
    <t>Vermeden virgin granulaatproductie, hernieuwbare energie, zon</t>
  </si>
  <si>
    <t>Vermeden virgin granulaatproductie, hernieuwbare energie, water</t>
  </si>
  <si>
    <t>Vermeden virgin granulaatproductie, hernieuwbare energie, wind</t>
  </si>
  <si>
    <t>Vermeden virgin granulaatproductie, niet-hernieuwbare energie, fossiel</t>
  </si>
  <si>
    <t>Vermeden virgin granulaatproductie, niet-hernieuwbare energie, nucleair</t>
  </si>
  <si>
    <t>Vermeden virgin granulaatproductie, niet-hernieuwbare energie, oerbos</t>
  </si>
  <si>
    <t>Vermeden virgin granulaatproductie, water</t>
  </si>
  <si>
    <t>Vermeden virgin granulaatproductie, GWP100</t>
  </si>
  <si>
    <t>https://v36.ecoquery.ecoinvent.org/Details/LCIA/acf1ee8d-2b0b-48e7-87be-cb728adc873c/06590a66-662a-4885-8494-ad0cf410f956</t>
  </si>
  <si>
    <t>market for polyethylene, linear low density, granulate, GLO, (Author: Guillaume Bourgault inactive)</t>
  </si>
  <si>
    <t>Dit is per huishouden dat sowieso al folders ontvangt. Niet gemiddeld per huishouden in hele gemeente</t>
  </si>
  <si>
    <t>https://v36.ecoquery.ecoinvent.org/Details/LCIA/c7741490-67cc-424c-a286-a5246288e231/06590a66-662a-4885-8494-ad0cf410f956</t>
  </si>
  <si>
    <t>Recycled granulaatproductie, hernieuwbare energie, biomassa</t>
  </si>
  <si>
    <t>Recycled granulaatproductie, hernieuwbare energie, geothermie</t>
  </si>
  <si>
    <t>Recycled granulaatproductie, hernieuwbare energie, zon</t>
  </si>
  <si>
    <t>Recycled granulaatproductie, hernieuwbare energie, water</t>
  </si>
  <si>
    <t>Recycled granulaatproductie, hernieuwbare energie, wind</t>
  </si>
  <si>
    <t>Recycled granulaatproductie, niet-hernieuwbare energie, fossiel</t>
  </si>
  <si>
    <t>Recycled granulaatproductie, niet-hernieuwbare energie, nucleair</t>
  </si>
  <si>
    <t>Recycled granulaatproductie, niet-hernieuwbare energie, oerbos</t>
  </si>
  <si>
    <t>Recycled granulaatproductie, water</t>
  </si>
  <si>
    <t>Recycled granulaatproductie, GWP100</t>
  </si>
  <si>
    <t>polyethylene, high density, granulate, recycled to generic market for high density PE granulate, Europe without Switzerland, (Author: Thomas Kägi active)</t>
  </si>
  <si>
    <t>Scheidingspercentage OPK</t>
  </si>
  <si>
    <t>Folkert Starreveld, email</t>
  </si>
  <si>
    <t>Scheidingspercentage PMD</t>
  </si>
  <si>
    <t>Scheidingspercentage OPK (als niet beschikbaar, % fijn huishoudelijk)</t>
  </si>
  <si>
    <t>Per fiets en voet, dus nihile impact</t>
  </si>
  <si>
    <t>inwoners</t>
  </si>
  <si>
    <t>Aantal inwoners</t>
  </si>
  <si>
    <t>Inwoners</t>
  </si>
  <si>
    <t>Type vervoersmiddel regionale distributie (truck kilometers)</t>
  </si>
  <si>
    <t>Type vervoersmiddel regionale distributie (busje kilometers)</t>
  </si>
  <si>
    <t>Aantal huishoudens aangesloten bij folderskiezen.nl</t>
  </si>
  <si>
    <t>Totaal aantal huishoudens aangesloten bij folderkiezers</t>
  </si>
  <si>
    <t>Van De Jong (Baarle Nassau) naar 3 verpaklocaties Spotta</t>
  </si>
  <si>
    <t xml:space="preserve">Vanuit 3 verpaklocaties Spotta </t>
  </si>
  <si>
    <t>Vrachtwagen, EURO6, vervoeren 25 ton</t>
  </si>
  <si>
    <t>Type vervoersmiddel druklocatie -&gt; Spotta verpaklocaties</t>
  </si>
  <si>
    <t>Vervoer (vrachtwagen, EURO6, diesel, 16-32 ton), hernieuwbare energie, biomassa</t>
  </si>
  <si>
    <t>Vervoer (vrachtwagen, EURO6, diesel, 16-32 ton), hernieuwbare energie, geothermie</t>
  </si>
  <si>
    <t>Vervoer (vrachtwagen, EURO6, diesel, 16-32 ton), hernieuwbare energie, zon</t>
  </si>
  <si>
    <t>Vervoer (vrachtwagen, EURO6, diesel, 16-32 ton), hernieuwbare energie, water</t>
  </si>
  <si>
    <t>Vervoer (vrachtwagen, EURO6, diesel, 16-32 ton), hernieuwbare energie, wind</t>
  </si>
  <si>
    <t>Vervoer (vrachtwagen, EURO6, diesel, 16-32 ton), niet-hernieuwbare energie, fossiel</t>
  </si>
  <si>
    <t>Vervoer (vrachtwagen, EURO6, diesel, 16-32 ton), niet-hernieuwbare energie, nucleair</t>
  </si>
  <si>
    <t>Vervoer (vrachtwagen, EURO6, diesel, 16-32 ton), niet-hernieuwbare energie, oerbos</t>
  </si>
  <si>
    <t>Vervoer (vrachtwagen, EURO6, diesel, 16-32 ton), water</t>
  </si>
  <si>
    <t>Vervoer (vrachtwagen, EURO6, diesel, 16-32 ton), GWP100</t>
  </si>
  <si>
    <t>Vervoer (vrachtwagen, EURO6, diesel, 16-32 ton), hernieuwbare energie</t>
  </si>
  <si>
    <t>Vervoer (vrachtwagen, EURO6, diesel, 16-32 ton), niet-hernieuwbare energie</t>
  </si>
  <si>
    <t>Google Maps</t>
  </si>
  <si>
    <t>% van folders dat naar Spotta Meppel gaat</t>
  </si>
  <si>
    <t>% van folders dat naar Spotta Eindhoven gaat</t>
  </si>
  <si>
    <t>% van folders dat naar Spotta Utrecht gaat</t>
  </si>
  <si>
    <t>Gewicht drukwerk</t>
  </si>
  <si>
    <t>MJ-eq / tonkm</t>
  </si>
  <si>
    <t>m3 / tonkm</t>
  </si>
  <si>
    <t>tonkilometer / jaar</t>
  </si>
  <si>
    <t>MJ-eq</t>
  </si>
  <si>
    <t>kg CO2-eq</t>
  </si>
  <si>
    <t>Overige gemeente-specifieke inputs (gebruiken in berekeningen)</t>
  </si>
  <si>
    <t>Afstand distributie naar lokaal, truck</t>
  </si>
  <si>
    <t>Afstand distributie naar lokaal, per truck</t>
  </si>
  <si>
    <t>Afstand distributie naar lokaal, per busje</t>
  </si>
  <si>
    <t>Afstand distributie naar lokaal, busje</t>
  </si>
  <si>
    <t>Impact vervoer Spotta verpaklocaties -&gt; lokaal (truck)</t>
  </si>
  <si>
    <t>Impact vervoer Spotta verpaklocaties -&gt; lokaal (busje)</t>
  </si>
  <si>
    <t>Druklocatie naar verpaklocatie, ong. recl. normaal</t>
  </si>
  <si>
    <t>Verpaklocatie naar lokaal (truck), ong. recl. normaal</t>
  </si>
  <si>
    <t>Verpaklocatie naar lokaal (bus), ong. recl. normaal</t>
  </si>
  <si>
    <t>Impact vervoer ong. recl. normaal, Drukker -&gt; Spotta verpaklocatie, hernieuwbare energie</t>
  </si>
  <si>
    <t>Impact vervoer ong. recl. normaal, Drukker -&gt; Spotta verpaklocatie, niet-hernieuwbare energie</t>
  </si>
  <si>
    <t>Impact vervoer ong. recl. normaal, Drukker -&gt; Spotta verpaklocatie, water</t>
  </si>
  <si>
    <t>Impact vervoer ong. recl. normaal, Drukker -&gt; Spotta verpaklocatie, GWP100</t>
  </si>
  <si>
    <t>Impact vervoer, ong. recl. normaal, Spotta -&gt; lokaal (truck), hernieuwbare energie</t>
  </si>
  <si>
    <t>Impact vervoer, ong. recl. normaal, Spotta -&gt; lokaal (truck), niet-hernieuwbare energie</t>
  </si>
  <si>
    <t>Impact vervoer,ong. recl. normaal, Spotta -&gt; lokaal (truck), water</t>
  </si>
  <si>
    <t>Impact vervoer, ong. recl. normaal, Spotta -&gt; lokaal (truck), GWP100</t>
  </si>
  <si>
    <t>Impact vervoer,ong. recl. normaal, Spotta -&gt; lokaal (busje), hernieuwbare energie</t>
  </si>
  <si>
    <t>% van papier van drukwerk dat gescheiden wordt ingezameld</t>
  </si>
  <si>
    <t>Scheidingspercentage</t>
  </si>
  <si>
    <t>% van plastic van drukwerk dat gescheiden wordt ingezameld</t>
  </si>
  <si>
    <t>Totaal aantal huishoudens dat kleinere selectie ontvangt</t>
  </si>
  <si>
    <t>Jaarlijkse gewicht papier, gescheiden ingezameld</t>
  </si>
  <si>
    <t>Jaarlijkse gewicht papier, restafval</t>
  </si>
  <si>
    <t xml:space="preserve">kg / jaar </t>
  </si>
  <si>
    <t>Scheiden papier en plastic</t>
  </si>
  <si>
    <t>Jaarlijkse gewicht plastic, gescheiden ingezameld</t>
  </si>
  <si>
    <t>Jaarlijkse gewicht plastic, restafval</t>
  </si>
  <si>
    <t>Recycling plastic</t>
  </si>
  <si>
    <t>Vermeden impact recycling papier</t>
  </si>
  <si>
    <t>Vermeden impact recycling plastic</t>
  </si>
  <si>
    <t>Negatief cijfer is vermeden impact</t>
  </si>
  <si>
    <t>Gemaakte min vermeden impact, recycled granulaatproductie, hernieuwbare energie, biomassa</t>
  </si>
  <si>
    <t>Gemaakte min vermeden impact, recycled granulaatproductie, hernieuwbare energie, geothermie</t>
  </si>
  <si>
    <t>Gemaakte min vermeden impact, recycled granulaatproductie, hernieuwbare energie, zon</t>
  </si>
  <si>
    <t>Gemaakte min vermeden impact, recycled granulaatproductie, hernieuwbare energie, water</t>
  </si>
  <si>
    <t>Gemaakte min vermeden impact, recycled granulaatproductie, hernieuwbare energie, wind</t>
  </si>
  <si>
    <t>Gemaakte min vermeden impact, recycled granulaatproductie, niet-hernieuwbare energie, fossiel</t>
  </si>
  <si>
    <t>Gemaakte min vermeden impact, recycled granulaatproductie, niet-hernieuwbare energie, nucleair</t>
  </si>
  <si>
    <t>Gemaakte min vermeden impact, recycled granulaatproductie, niet-hernieuwbare energie, oerbos</t>
  </si>
  <si>
    <t>Gemaakte min vermeden impact, recycled granulaatproductie, water</t>
  </si>
  <si>
    <t>Gemaakte min vermeden impact, recycled granulaatproductie, GWP100</t>
  </si>
  <si>
    <t>Gemaakte min vermeden impact, hernieuwbare energie</t>
  </si>
  <si>
    <t>Gemaakte min vermeden impact, niet-hernieuwbare energie</t>
  </si>
  <si>
    <t>Gemaakte min vermeden impact, water</t>
  </si>
  <si>
    <t>Gemaakte min vermeden impact, GWP100</t>
  </si>
  <si>
    <t>Totale impact verwerken gescheiden plastic, hernieuwbare energie</t>
  </si>
  <si>
    <t>Totale impact verwerken gescheiden plastic, niet-hernieuwbare energie</t>
  </si>
  <si>
    <t>Totale impact verwerken gescheiden plastic, water</t>
  </si>
  <si>
    <t>Totale impact verwerken gescheiden plastic, GWP100</t>
  </si>
  <si>
    <t>Gescheiden plastics</t>
  </si>
  <si>
    <t>Restafval plastics</t>
  </si>
  <si>
    <t>Verbranding, plastic, hernieuwbare energie</t>
  </si>
  <si>
    <t>Verbranding, plastic, niet-hernieuwbare energie</t>
  </si>
  <si>
    <t>Impact verbranden zelf</t>
  </si>
  <si>
    <t>Impact elektriciteitsproductie</t>
  </si>
  <si>
    <t>Jaarlijkse elektriciteitsproductie, verbranding plastic</t>
  </si>
  <si>
    <t>Jaarlijkse warmteproductie, verbranding plastic</t>
  </si>
  <si>
    <t>Elektriciteitsproductie NL, hernieuwbare energie</t>
  </si>
  <si>
    <t>Elektriciteitsproductie NL, niet-hernieuwbare energie</t>
  </si>
  <si>
    <t>Totale impact elektriciteitsproductie plasticverbranden, hernieuwbare energie</t>
  </si>
  <si>
    <t>Totale impact elektriciteitsproductie plasticverbranden, niet-hernieuwbare energie</t>
  </si>
  <si>
    <t>Totale impact elektriciteitsproductie plasticverbranden, water</t>
  </si>
  <si>
    <t>Totale impact elektriciteitsproductie plasticverbranden, GWP100</t>
  </si>
  <si>
    <t>Warmteproductie NL, hernieuwbare energie, biomassa</t>
  </si>
  <si>
    <t>Warmteproductie NL, hernieuwbare energie, geothermie</t>
  </si>
  <si>
    <t>Warmteproductie NL, hernieuwbare energie, zon</t>
  </si>
  <si>
    <t>Warmteproductie NL, hernieuwbare energie, water</t>
  </si>
  <si>
    <t>Warmteproductie NL, hernieuwbare energie, wind</t>
  </si>
  <si>
    <t>Warmteproductie NL, niet-hernieuwbare energie, fossiel</t>
  </si>
  <si>
    <t>Warmteproductie NL, niet-hernieuwbare energie, nucleair</t>
  </si>
  <si>
    <t>Warmteproductie NL, niet-hernieuwbare energie, oerbos</t>
  </si>
  <si>
    <t>Warmteproductie NL, water</t>
  </si>
  <si>
    <t>Warmteproductie NL, GWP100</t>
  </si>
  <si>
    <t>Warmteproductie NL, hernieuwbare energie</t>
  </si>
  <si>
    <t>Warmteproductie NL, niet-hernieuwbare energie</t>
  </si>
  <si>
    <t>Totale impact warmteproductie plasticverbranden, hernieuwbare energie</t>
  </si>
  <si>
    <t>Totale impact warmteproductie plasticverbranden, niet-hernieuwbare energie</t>
  </si>
  <si>
    <t>Totale impact warmteproductie plasticverbranden, water</t>
  </si>
  <si>
    <t>Totale impact warmteproductie plasticverbranden, GWP100</t>
  </si>
  <si>
    <t>Totale impact energieproductie plasticverbranden, hernieuwbare energie</t>
  </si>
  <si>
    <t>Totale impact energieproductie plasticverbranden, niet-hernieuwbare energie</t>
  </si>
  <si>
    <t>Totale impact energieproductie plasticverbranden, water</t>
  </si>
  <si>
    <t>Totale impact energieproductie plasticverbranden, GWP100</t>
  </si>
  <si>
    <t>Vermeden impact, dus vermenigvuldigd met -1</t>
  </si>
  <si>
    <t>Totale impact verbranden restafval plastic, hernieuwbare energie</t>
  </si>
  <si>
    <t>Totale impact verbranden restafval plastic, niet-hernieuwbare energie</t>
  </si>
  <si>
    <t>Totale impact verbranden restafval plastic, water</t>
  </si>
  <si>
    <t>Totale impact verbranden restafval plastic, GWP100</t>
  </si>
  <si>
    <t>Totale impact verwerken gescheiden+rest plastic, hernieuwbare energie</t>
  </si>
  <si>
    <t>Totale impact verwerken gescheiden+rest plastic, niet-hernieuwbare energie</t>
  </si>
  <si>
    <t>Totale impact verwerken gescheiden+rest plastic, water</t>
  </si>
  <si>
    <t>Totale impact verwerken gescheiden+rest plastic, GWP100</t>
  </si>
  <si>
    <t>Impact gescheiden en rest plastics, totaal</t>
  </si>
  <si>
    <t>Gewicht per brief</t>
  </si>
  <si>
    <t>Gewicht per envelop</t>
  </si>
  <si>
    <t xml:space="preserve">Het lijkt logisch dat deze mensen een Nee/Nee of Nee/Ja-sticker hebben. Echter, welke van de twee zij hebben, weten we niet. We nemen dus aan dat het relatief is aan aantal mensen met die sticker. </t>
  </si>
  <si>
    <t>0 = nee; 1 = ja</t>
  </si>
  <si>
    <t>Scheidingspercentage PMD (als niet beschikbaar, % fijn huishoudelijk)</t>
  </si>
  <si>
    <t>Stedelijkheidsklasse</t>
  </si>
  <si>
    <t xml:space="preserve">Als scheidingspercentage beschikbaar is, wordt deze aangehouden. Als scheidingspercentage niet beschikbaar is, wordt een gemiddelde genomen van de percentages die wél beschikbaar zijn binnen dezelfde stedelijkheidsklasse. </t>
  </si>
  <si>
    <t>Aantal brieven die gestuurd worden m.b.t. invoering</t>
  </si>
  <si>
    <t>brieven</t>
  </si>
  <si>
    <t>Interne kennis Spotta</t>
  </si>
  <si>
    <t>Recycled bedrukt papier per kg output (gerecycled papier), hernieuwbare energie, biomassa</t>
  </si>
  <si>
    <t>Recycled bedrukt papier per kg output (gerecycled papier), hernieuwbare energie, geothermie</t>
  </si>
  <si>
    <t>Recycled bedrukt papier per kg output (gerecycled papier), hernieuwbare energie, zon</t>
  </si>
  <si>
    <t>Recycled bedrukt papier per kg output (gerecycled papier), hernieuwbare energie, water</t>
  </si>
  <si>
    <t>Recycled bedrukt papier per kg output (gerecycled papier), hernieuwbare energie, wind</t>
  </si>
  <si>
    <t>Recycled bedrukt papier per kg output (gerecycled papier), niet-hernieuwbare energie, fossiel</t>
  </si>
  <si>
    <t>Recycled bedrukt papier per kg output (gerecycled papier), niet-hernieuwbare energie, nucleair</t>
  </si>
  <si>
    <t>Recycled bedrukt papier per kg output (gerecycled papier), niet-hernieuwbare energie, oerbos</t>
  </si>
  <si>
    <t>Recycled bedrukt papier per kg output (gerecycled papier), water</t>
  </si>
  <si>
    <t>Recycled bedrukt papier per kg output (gerecycled papier), GWP100</t>
  </si>
  <si>
    <t>Virgin plastic folie, hernieuwbare energie, biomassa</t>
  </si>
  <si>
    <t>Virgin plastic folie, hernieuwbare energie, geothermie</t>
  </si>
  <si>
    <t>Virgin plastic folie, hernieuwbare energie, zon</t>
  </si>
  <si>
    <t>Virgin plastic folie, hernieuwbare energie, water</t>
  </si>
  <si>
    <t>Virgin plastic folie, hernieuwbare energie, wind</t>
  </si>
  <si>
    <t>Virgin plastic folie, niet-hernieuwbare energie, fossiel</t>
  </si>
  <si>
    <t>Virgin plastic folie, niet-hernieuwbare energie, nucleair</t>
  </si>
  <si>
    <t>Virgin plastic folie, niet-hernieuwbare energie, oerbos</t>
  </si>
  <si>
    <t>Virgin plastic folie, water</t>
  </si>
  <si>
    <t>Virgin plastic folie, GWP100</t>
  </si>
  <si>
    <t>Recycled PE granulaat, hernieuwbare energie, biomassa</t>
  </si>
  <si>
    <t>Recycled PE granulaat, hernieuwbare energie, geothermie</t>
  </si>
  <si>
    <t>Recycled PE granulaat, hernieuwbare energie, zon</t>
  </si>
  <si>
    <t>Recycled PE granulaat, hernieuwbare energie, water</t>
  </si>
  <si>
    <t>Recycled PE granulaat, hernieuwbare energie, wind</t>
  </si>
  <si>
    <t>Recycled PE granulaat, niet-hernieuwbare energie, fossiel</t>
  </si>
  <si>
    <t>Recycled PE granulaat, niet-hernieuwbare energie, nucleair</t>
  </si>
  <si>
    <t>Recycled PE granulaat, niet-hernieuwbare energie, oerbos</t>
  </si>
  <si>
    <t>Recycled PE granulaat, water</t>
  </si>
  <si>
    <t>Recycled PE granulaat, GWP100</t>
  </si>
  <si>
    <t>Plastic folie extrusie, hernieuwbare energie, biomassa</t>
  </si>
  <si>
    <t>Plastic folie extrusie, hernieuwbare energie, geothermie</t>
  </si>
  <si>
    <t>Plastic folie extrusie, hernieuwbare energie, zon</t>
  </si>
  <si>
    <t>Plastic folie extrusie, hernieuwbare energie, water</t>
  </si>
  <si>
    <t>Plastic folie extrusie, hernieuwbare energie, wind</t>
  </si>
  <si>
    <t>Plastic folie extrusie, niet-hernieuwbare energie, fossiel</t>
  </si>
  <si>
    <t>Plastic folie extrusie, niet-hernieuwbare energie, nucleair</t>
  </si>
  <si>
    <t>Plastic folie extrusie, niet-hernieuwbare energie, oerbos</t>
  </si>
  <si>
    <t>Plastic folie extrusie, water</t>
  </si>
  <si>
    <t>Plastic folie extrusie, GWP100</t>
  </si>
  <si>
    <t>Gewicht</t>
  </si>
  <si>
    <t>Drukwerk huidig</t>
  </si>
  <si>
    <t>Digitaal</t>
  </si>
  <si>
    <t>% transport verpaklocaties -&gt; lokaal met truck, 3-asser met 20-25 ton capaciteit</t>
  </si>
  <si>
    <t>% transport verpaklocaties -&gt; lokaal met truck, bak-wagen met 9 ton capaciteit</t>
  </si>
  <si>
    <t>Alle truck-vervoer is met Euro5 en Euro6-norm diesels. Verhouding tussen Euro-normen onduidelijk</t>
  </si>
  <si>
    <t>https://v36.ecoquery.ecoinvent.org/Details/LCIA/5beb9dbb-c6e2-40a6-8500-00f1ce75ce07/06590a66-662a-4885-8494-ad0cf410f956</t>
  </si>
  <si>
    <t>https://v36.ecoquery.ecoinvent.org/Details/LCIA/ea924c34-a7fb-4e82-9d60-6c8fb05db837/06590a66-662a-4885-8494-ad0cf410f956</t>
  </si>
  <si>
    <t>https://v36.ecoquery.ecoinvent.org/Details/LCIA/5ea45bbb-c9f1-4a0a-82ac-67317a8ecc43/06590a66-662a-4885-8494-ad0cf410f956</t>
  </si>
  <si>
    <t>Vervoer 3-asser met 20-25 ton, EURO5, hernieuwbare energie, biomassa</t>
  </si>
  <si>
    <t>Vervoer 3-asser met 20-25 ton, EURO5, hernieuwbare energie, geothermie</t>
  </si>
  <si>
    <t>Vervoer 3-asser met 20-25 ton, EURO5, hernieuwbare energie, zon</t>
  </si>
  <si>
    <t>Vervoer 3-asser met 20-25 ton, EURO5, hernieuwbare energie, water</t>
  </si>
  <si>
    <t>Vervoer 3-asser met 20-25 ton, EURO5, hernieuwbare energie, wind</t>
  </si>
  <si>
    <t>Vervoer 3-asser met 20-25 ton, EURO5, niet-hernieuwbare energie, fossiel</t>
  </si>
  <si>
    <t>Vervoer 3-asser met 20-25 ton, EURO5, niet-hernieuwbare energie, nucleair</t>
  </si>
  <si>
    <t>Vervoer 3-asser met 20-25 ton, EURO5, niet-hernieuwbare energie, oerbos</t>
  </si>
  <si>
    <t>Vervoer 3-asser met 20-25 ton, EURO5, water</t>
  </si>
  <si>
    <t>Vervoer 3-asser met 20-25 ton, EURO5, GWP100</t>
  </si>
  <si>
    <t>Vervoer bakwagen 9 ton, EURO5, hernieuwbare energie, biomassa</t>
  </si>
  <si>
    <t>Vervoer bakwagen 9 ton, EURO5, hernieuwbare energie, geothermie</t>
  </si>
  <si>
    <t>Vervoer bakwagen 9 ton, EURO5, hernieuwbare energie, zon</t>
  </si>
  <si>
    <t>Vervoer bakwagen 9 ton, EURO5, hernieuwbare energie, water</t>
  </si>
  <si>
    <t>Vervoer bakwagen 9 ton, EURO5, hernieuwbare energie, wind</t>
  </si>
  <si>
    <t>Vervoer bakwagen 9 ton, EURO5, niet-hernieuwbare energie, fossiel</t>
  </si>
  <si>
    <t>Vervoer bakwagen 9 ton, EURO5, niet-hernieuwbare energie, nucleair</t>
  </si>
  <si>
    <t>Vervoer bakwagen 9 ton, EURO5, niet-hernieuwbare energie, oerbos</t>
  </si>
  <si>
    <t>Vervoer bakwagen 9 ton, EURO5, water</t>
  </si>
  <si>
    <t>Vervoer bakwagen 9 ton, EURO5, GWP100</t>
  </si>
  <si>
    <t>Vervoer, klein vervoer busje, hernieuwbare energie, biomassa</t>
  </si>
  <si>
    <t>Vervoer, klein vervoer busje, hernieuwbare energie, geothermie</t>
  </si>
  <si>
    <t>Vervoer, klein vervoer busje, hernieuwbare energie, zon</t>
  </si>
  <si>
    <t>Vervoer, klein vervoer busje, hernieuwbare energie, water</t>
  </si>
  <si>
    <t>Vervoer, klein vervoer busje, hernieuwbare energie, wind</t>
  </si>
  <si>
    <t>Vervoer, klein vervoer busje, niet-hernieuwbare energie, fossiel</t>
  </si>
  <si>
    <t>Vervoer, klein vervoer busje, niet-hernieuwbare energie, nucleair</t>
  </si>
  <si>
    <t>Vervoer, klein vervoer busje, niet-hernieuwbare energie, oerbos</t>
  </si>
  <si>
    <t>Vervoer, klein vervoer busje, water</t>
  </si>
  <si>
    <t>Vervoer, klein vervoer busje, GWP100</t>
  </si>
  <si>
    <t xml:space="preserve">Gewicht vinyl sticker </t>
  </si>
  <si>
    <t>DuPont Tedlar Polyvinyl Fluoride (PVF) Films; General Properties</t>
  </si>
  <si>
    <t>Ze hebben 3 verschillende gewichttypen. +/- midden genomen</t>
  </si>
  <si>
    <t>Oppervlakte Ja/Ja-sticker</t>
  </si>
  <si>
    <t>m2</t>
  </si>
  <si>
    <t>kg / m2</t>
  </si>
  <si>
    <t>http://www.tabellenboekje.nl/algemeen-papier-gewicht.php#80gram</t>
  </si>
  <si>
    <t>80 grams papier, 1A4</t>
  </si>
  <si>
    <t>https://help.drukwerkdeal.nl/hc/nl/articles/209007725-Hoe-bereken-je-het-gewicht-van-enveloppen-</t>
  </si>
  <si>
    <t>Impact vinyl stickers</t>
  </si>
  <si>
    <t>Vinyl sticker, hernieuwbare energie, biomassa</t>
  </si>
  <si>
    <t>Vinyl sticker, hernieuwbare energie, geothermie</t>
  </si>
  <si>
    <t>Vinyl sticker, hernieuwbare energie, zon</t>
  </si>
  <si>
    <t>Vinyl sticker, hernieuwbare energie, water</t>
  </si>
  <si>
    <t>Vinyl sticker, hernieuwbare energie, wind</t>
  </si>
  <si>
    <t>Vinyl sticker, niet-hernieuwbare energie, fossiel</t>
  </si>
  <si>
    <t>Vinyl sticker, niet-hernieuwbare energie, nucleair</t>
  </si>
  <si>
    <t>Vinyl sticker, niet-hernieuwbare energie, oerbos</t>
  </si>
  <si>
    <t>Vinyl sticker, water</t>
  </si>
  <si>
    <t>Vinyl sticker, GWP100</t>
  </si>
  <si>
    <t>https://v36.ecoquery.ecoinvent.org/Details/LCIA/698c80a0-4a4d-46c1-9b18-be3e938287e1/06590a66-662a-4885-8494-ad0cf410f956</t>
  </si>
  <si>
    <t>market for polyvinylfluoride, film, GLO</t>
  </si>
  <si>
    <t>Impact laptopgebruik, hernieuwbare energie, biomassa</t>
  </si>
  <si>
    <t>Impact laptopgebruik, hernieuwbare energie, geothermie</t>
  </si>
  <si>
    <t>Impact laptopgebruik, hernieuwbare energie, zon</t>
  </si>
  <si>
    <t>Impact laptopgebruik, hernieuwbare energie, water</t>
  </si>
  <si>
    <t>Impact laptopgebruik, hernieuwbare energie, wind</t>
  </si>
  <si>
    <t>Impact laptopgebruik, niet-hernieuwbare energie, fossiel</t>
  </si>
  <si>
    <t>Impact laptopgebruik, niet-hernieuwbare energie, nucleair</t>
  </si>
  <si>
    <t>Impact laptopgebruik, niet-hernieuwbare energie, oerbos</t>
  </si>
  <si>
    <t>Impact laptopgebruik, water</t>
  </si>
  <si>
    <t>Impact laptopgebruik, GWP100</t>
  </si>
  <si>
    <t>MJ-eq / uur</t>
  </si>
  <si>
    <t>m3 / uur</t>
  </si>
  <si>
    <t>kg CO2-eq / uur</t>
  </si>
  <si>
    <t>http://docplayer.nl/47913883-Het-bereiks-onderzoek-voor-folders-2017.html</t>
  </si>
  <si>
    <t>GfK en DDMA, Het bereiksonderzoek voor folders, 2017</t>
  </si>
  <si>
    <t>Aantal minuten digitaal folders lezen</t>
  </si>
  <si>
    <t>minuten / week</t>
  </si>
  <si>
    <t>https://v36.ecoquery.ecoinvent.org/Details/LCIA/a7f6e96a-8ae0-43e3-b62b-63037acf9ff3/06590a66-662a-4885-8494-ad0cf410f956</t>
  </si>
  <si>
    <t>market for operation, computer, laptop, active mode, GLO</t>
  </si>
  <si>
    <t>Laptopgebruik genomen. In werkelijkheid zullen sommige mensen desktop gebruiken (hoger energiegebruik) of tablet/telefoon (lager energiegebruik)</t>
  </si>
  <si>
    <t>Ongead. recl. drukwerk en h.a.h.</t>
  </si>
  <si>
    <t>Jaarlijkse gewicht virgin plastic, ongeaddr. + geaddr. reclamedrukwerk (kg)</t>
  </si>
  <si>
    <t>Jaarlijkse gewicht recycled plastic, ongeaddr. + geaddr. reclamedrukwerk (kg)</t>
  </si>
  <si>
    <t>Jaarlijkse gewicht virgin papier ongeaddr. + geaddr. reclamedrukwerk (kg)</t>
  </si>
  <si>
    <t>Jaarlijkse gewicht recycled papier ongeaddr. + geaddr. reclamedrukwerk (kg)</t>
  </si>
  <si>
    <t>Virgin, ongeaddr + geaddr.</t>
  </si>
  <si>
    <t>Virgin bedrukt papier, ongeaddr. + geaddr., hernieuwbare energie</t>
  </si>
  <si>
    <t>Virgin bedrukt papier, ongeaddr. + geaddr., niet-hernieuwbare energie</t>
  </si>
  <si>
    <t>Virgin bedrukt papier, ongeaddr. + geaddr., water</t>
  </si>
  <si>
    <t>Virgin bedrukt papier, ongeaddr. + geaddr., GWP100</t>
  </si>
  <si>
    <t>Impact virgin bedrukt papier, ongeaddr. + geaddr. per jaar, hernieuwbare energie</t>
  </si>
  <si>
    <t>Impact virgin bedrukt papier, ongeaddr. + geaddr. per jaar, niet-hernieuwbare energie</t>
  </si>
  <si>
    <t>Impact virgin bedrukt papier, ongeaddr. + geaddr. per jaar, water</t>
  </si>
  <si>
    <t>Impact virgin bedrukt papier, ongeaddr. + geaddr. per jaar, GWP100</t>
  </si>
  <si>
    <t>Gerecycled, ong. recl. + geaddr.</t>
  </si>
  <si>
    <t>Gerecycled bedrukt papier, ongeaddr. + geaddr., hernieuwbare energie</t>
  </si>
  <si>
    <t>Gerecycled bedrukt papier, ongeaddr. + geaddr., niet-hernieuwbare energie</t>
  </si>
  <si>
    <t>Gerecycled bedrukt papier, ongeaddr. + geaddr., water</t>
  </si>
  <si>
    <t>Gerecycled bedrukt papier, ongeaddr. + geaddr., GWP100</t>
  </si>
  <si>
    <t>Impact Gerecycled bedrukt papier, ongeaddr. + geaddr. per jaar, hernieuwbare energie</t>
  </si>
  <si>
    <t>Impact Gerecycled bedrukt papier, ongeaddr. + geaddr. per jaar, niet-hernieuwbare energie</t>
  </si>
  <si>
    <t>Impact Gerecycled bedrukt papier, ongeaddr. + geaddr. per jaar, water</t>
  </si>
  <si>
    <t>Impact Gerecycled bedrukt papier, ongeaddr. + geaddr. per jaar, GWP100</t>
  </si>
  <si>
    <t>Virgin plastic folie</t>
  </si>
  <si>
    <t>Gerecycled plastic folie</t>
  </si>
  <si>
    <t>virgin plastic folie, hernieuwbare energie</t>
  </si>
  <si>
    <t>virgin plastic folie, niet-hernieuwbare energie</t>
  </si>
  <si>
    <t>virgin plastic folie, water</t>
  </si>
  <si>
    <t>virgin plastic folie, GWP100</t>
  </si>
  <si>
    <t>Impact virgin plastic folie per jaar, hernieuwbare energie</t>
  </si>
  <si>
    <t>Impact virgin plastic folie per jaar, niet-hernieuwbare energie</t>
  </si>
  <si>
    <t>Impact virgin plastic folie per jaar, water</t>
  </si>
  <si>
    <t>Impact virgin plastic folie per jaar, GWP100</t>
  </si>
  <si>
    <t>PE granulaat + folie extrusie, totaal, hernieuwbare energie, biomassa</t>
  </si>
  <si>
    <t>PE granulaat + folie extrusie, totaal, hernieuwbare energie, geothermie</t>
  </si>
  <si>
    <t>PE granulaat + folie extrusie, totaal, hernieuwbare energie, zon</t>
  </si>
  <si>
    <t>PE granulaat + folie extrusie, totaal, hernieuwbare energie, water</t>
  </si>
  <si>
    <t>PE granulaat + folie extrusie, totaal, hernieuwbare energie, wind</t>
  </si>
  <si>
    <t>PE granulaat + folie extrusie, totaal, niet-hernieuwbare energie, fossiel</t>
  </si>
  <si>
    <t>PE granulaat + folie extrusie, totaal, niet-hernieuwbare energie, nucleair</t>
  </si>
  <si>
    <t>PE granulaat + folie extrusie, totaal, niet-hernieuwbare energie, oerbos</t>
  </si>
  <si>
    <t>PE granulaat + folie extrusie, totaal, water</t>
  </si>
  <si>
    <t>PE granulaat + folie extrusie, totaal, GWP100</t>
  </si>
  <si>
    <t>Recycled plastic, hernieuwbare energie</t>
  </si>
  <si>
    <t>Recycled plastic, niet-hernieuwbare energie</t>
  </si>
  <si>
    <t>Recycled plastic, water</t>
  </si>
  <si>
    <t>Recycled plastic, GWP100</t>
  </si>
  <si>
    <t>Impact Recycled plastic per jaar, hernieuwbare energie</t>
  </si>
  <si>
    <t>Impact Recycled plastic per jaar, niet-hernieuwbare energie</t>
  </si>
  <si>
    <t>Impact Recycled plastic per jaar, water</t>
  </si>
  <si>
    <t>Impact Recycled plastic per jaar, GWP100</t>
  </si>
  <si>
    <t>Vervoer (busje, klein lokaal), hernieuwbare energie</t>
  </si>
  <si>
    <t>Vervoer (busje, klein lokaal), niet-hernieuwbare energie</t>
  </si>
  <si>
    <t>Vervoer (busje, klein lokaal), water</t>
  </si>
  <si>
    <t>Vervoer (busje, klein lokaal), GWP100</t>
  </si>
  <si>
    <t xml:space="preserve">Totale impact vervoer, ong. recl. + geaddr. </t>
  </si>
  <si>
    <t>Vervoerroutes ongeaddr. en geaddr. lijken sterk op elkaar. Het is dus veilig dezelfde berekening voor beide te hanteren</t>
  </si>
  <si>
    <t xml:space="preserve">Druklocatie naar verpaklocatie, ongeadr. + geadr. </t>
  </si>
  <si>
    <t>Gemiddelde afstand ongeadr. + geadr.  van druklocatie -&gt; Spotta verpaklocatie</t>
  </si>
  <si>
    <t>Tonkilometer ongeadr. + geadr.  normaal Drukker -&gt; Spotta verpaklocatie</t>
  </si>
  <si>
    <t xml:space="preserve">Verpaklocatie naar lokaal (truck), ongeadr. + geadr. </t>
  </si>
  <si>
    <t>Tonkilometer ongeadr. + geadr.  normaal Spotta verpaklocatie -&gt; lokaal (truck)</t>
  </si>
  <si>
    <t xml:space="preserve">Verpaklocatie naar lokaal (bus), ongeadr. + geadr. </t>
  </si>
  <si>
    <t>Tonkilometer ongeadr. + geadr.  normaal Spotta verpaklocatie -&gt; lokaal (busje)</t>
  </si>
  <si>
    <t>Druklocatie naar verpaklocatie, HAH</t>
  </si>
  <si>
    <t>Afstand druklocatie folders -&gt; Spotta verpaklocatie Meppel</t>
  </si>
  <si>
    <t>Afstand druklocatie folders -&gt; Spotta verpaklocatie Utrecht</t>
  </si>
  <si>
    <t>Afstand druklocatie folders -&gt; Spotta verpaklocatie Eindhoven</t>
  </si>
  <si>
    <t>Snelste route, druklocatie is Baarle-Nassau</t>
  </si>
  <si>
    <t>Snelste route, druklocatie is Gennep</t>
  </si>
  <si>
    <t>Afstanden en tonkilometers, folders</t>
  </si>
  <si>
    <t>Impact vervoer, folders</t>
  </si>
  <si>
    <t>Afstanden en tonkilometers, HAH</t>
  </si>
  <si>
    <t>Tonkilometer HAH verpaklocatie -&gt; lokaal (busje)</t>
  </si>
  <si>
    <t>Tonkilometer HAH Drukker -&gt; verpaklocatie</t>
  </si>
  <si>
    <t>Impact vervoer HAH, Drukker -&gt; verpaklocatie, hernieuwbare energie</t>
  </si>
  <si>
    <t>Impact vervoer HAH, Drukker -&gt; verpaklocatie, niet-hernieuwbare energie</t>
  </si>
  <si>
    <t>Impact vervoer HAH, Drukker -&gt; verpaklocatie, water</t>
  </si>
  <si>
    <t>Impact vervoer HAH, Drukker -&gt; verpaklocatie, GWP100</t>
  </si>
  <si>
    <t>Zelfde route als folders, andere afstanden</t>
  </si>
  <si>
    <t>Impact vervoer,HAH verpaklocatie -&gt; lokaal (busje), hernieuwbare energie</t>
  </si>
  <si>
    <t>Verpaklocatie naar lokaal (bus), HAH</t>
  </si>
  <si>
    <t>Totale impact vervoer, HAH</t>
  </si>
  <si>
    <t>Impact vervoer, HAH</t>
  </si>
  <si>
    <t>Impact vervoer, ong. recl. + geadr., hernieuwbare energie</t>
  </si>
  <si>
    <t>Impact vervoer,HAH verpaklocatie -&gt; lokaal (busje), niet-hernieuwbare energie</t>
  </si>
  <si>
    <t>Impact vervoer,HAH verpaklocatie -&gt; lokaal (busje), water</t>
  </si>
  <si>
    <t>Impact vervoer,HAH verpaklocatie -&gt; lokaal (busje), GWP100</t>
  </si>
  <si>
    <t>Impact vervoer, ong. recl. + geadr., niet-hernieuwbare energie</t>
  </si>
  <si>
    <t>Impact vervoer, ong. recl. + geadr., water</t>
  </si>
  <si>
    <t>Impact vervoer, ong. recl. + geadr., GWP100</t>
  </si>
  <si>
    <t>Impact vervoer,ong. recl. normaal, Spotta -&gt; lokaal (busje), niet-hernieuwbare energie</t>
  </si>
  <si>
    <t>Impact vervoer,ong. recl. normaal, Spotta -&gt; lokaal (busje), water</t>
  </si>
  <si>
    <t>Impact vervoer,ong. recl. normaal, Spotta -&gt; lokaal (busje), GWP100</t>
  </si>
  <si>
    <t>https://v36.ecoquery.ecoinvent.org/Details/LCIA/245ffd4a-6603-48f0-a760-83ce50f3eef2/06590a66-662a-4885-8494-ad0cf410f956</t>
  </si>
  <si>
    <t>Gemaakte min vermeden impact, papierproductie, hernieuwbare energie, biomassa</t>
  </si>
  <si>
    <t>Gemaakte min vermeden impact, papierproductie, hernieuwbare energie, geothermie</t>
  </si>
  <si>
    <t>Gemaakte min vermeden impact, papierproductie, hernieuwbare energie, zon</t>
  </si>
  <si>
    <t>Gemaakte min vermeden impact, papierproductie, hernieuwbare energie, water</t>
  </si>
  <si>
    <t>Gemaakte min vermeden impact, papierproductie, hernieuwbare energie, wind</t>
  </si>
  <si>
    <t>Gemaakte min vermeden impact, papierproductie, niet-hernieuwbare energie, fossiel</t>
  </si>
  <si>
    <t>Gemaakte min vermeden impact, papierproductie, niet-hernieuwbare energie, nucleair</t>
  </si>
  <si>
    <t>Gemaakte min vermeden impact, papierproductie, niet-hernieuwbare energie, oerbos</t>
  </si>
  <si>
    <t>Gemaakte min vermeden impact, papierproductie, water</t>
  </si>
  <si>
    <t>Gemaakte min vermeden impact, papierproductie, GWP100</t>
  </si>
  <si>
    <t>Gemaakte min vermeden impact papier, hernieuwbare energie</t>
  </si>
  <si>
    <t>Gemaakte min vermeden impact papier, niet-hernieuwbare energie</t>
  </si>
  <si>
    <t>Gemaakte min vermeden impact papier, water</t>
  </si>
  <si>
    <t>Gemaakte min vermeden impact papier, GWP100</t>
  </si>
  <si>
    <t>Totale impact verwerken gescheiden papier, hernieuwbare energie</t>
  </si>
  <si>
    <t>Totale impact verwerken gescheiden papier, niet-hernieuwbare energie</t>
  </si>
  <si>
    <t>Totale impact verwerken gescheiden papier, water</t>
  </si>
  <si>
    <t>Totale impact verwerken gescheiden papier, GWP100</t>
  </si>
  <si>
    <t>Gescheiden papier</t>
  </si>
  <si>
    <t>Restafval papier</t>
  </si>
  <si>
    <t>Impact gescheiden en rest papier, totaal</t>
  </si>
  <si>
    <t>Verbranding, papier, hernieuwbare energie</t>
  </si>
  <si>
    <t>Verbranding, papier, niet-hernieuwbare energie</t>
  </si>
  <si>
    <t>Verbranding, papier, water</t>
  </si>
  <si>
    <t>Verbranding, papier, GWP100</t>
  </si>
  <si>
    <t>Totale impact verbranden restafval papier, hernieuwbare energie</t>
  </si>
  <si>
    <t>Totale impact verbranden restafval papier, niet-hernieuwbare energie</t>
  </si>
  <si>
    <t>Totale impact verbranden restafval papier, water</t>
  </si>
  <si>
    <t>Totale impact verbranden restafval papier, GWP100</t>
  </si>
  <si>
    <t>Jaarlijkse elektriciteitsproductie, verbranding papier</t>
  </si>
  <si>
    <t>Jaarlijkse warmteproductie, verbranding papier</t>
  </si>
  <si>
    <t>Totale impact elektriciteitsproductie papierverbranden, hernieuwbare energie</t>
  </si>
  <si>
    <t>Totale impact elektriciteitsproductie papierverbranden, niet-hernieuwbare energie</t>
  </si>
  <si>
    <t>Totale impact elektriciteitsproductie papierverbranden, water</t>
  </si>
  <si>
    <t>Totale impact elektriciteitsproductie papierverbranden, GWP100</t>
  </si>
  <si>
    <t>Totale impact warmteproductie papierverbranden, hernieuwbare energie</t>
  </si>
  <si>
    <t>Totale impact warmteproductie papierverbranden, niet-hernieuwbare energie</t>
  </si>
  <si>
    <t>Totale impact warmteproductie papierverbranden, water</t>
  </si>
  <si>
    <t>Totale impact warmteproductie papierverbranden, GWP100</t>
  </si>
  <si>
    <t>Totale impact energieproductie papierverbranden, hernieuwbare energie</t>
  </si>
  <si>
    <t>Totale impact energieproductie papierverbranden, niet-hernieuwbare energie</t>
  </si>
  <si>
    <t>Totale impact energieproductie papierverbranden, water</t>
  </si>
  <si>
    <t>Totale impact energieproductie papierverbranden, GWP100</t>
  </si>
  <si>
    <t>Totale impact verwerken gescheiden+rest papier, hernieuwbare energie</t>
  </si>
  <si>
    <t>Totale impact verwerken gescheiden+rest papier, niet-hernieuwbare energie</t>
  </si>
  <si>
    <t>Totale impact verwerken gescheiden+rest papier, water</t>
  </si>
  <si>
    <t>Totale impact verwerken gescheiden+rest papier, GWP100</t>
  </si>
  <si>
    <t>Uitval per recycleronde papier</t>
  </si>
  <si>
    <t>Overgebleven gewicht recycled, na uitval, papier</t>
  </si>
  <si>
    <t>Totaalgewicht restafval, incl. uitval, papier</t>
  </si>
  <si>
    <t>Overgebleven gewicht recycled, na uitval, plastic</t>
  </si>
  <si>
    <t>Totaalgewicht restafval, incl. uitval, plastic</t>
  </si>
  <si>
    <t>Inputs uit dashboard - toekomstige situatie</t>
  </si>
  <si>
    <t>Toekomstsituatie altijd zelf ingevuld, dus komt altijd 1 uit</t>
  </si>
  <si>
    <t>Uit dashboard</t>
  </si>
  <si>
    <t>Wordt niet gebruikt</t>
  </si>
  <si>
    <t>Keuze toekomstig systeem</t>
  </si>
  <si>
    <t>Aantal huishoudens per optie, Ja/Ja, incl. huis-aan-huis</t>
  </si>
  <si>
    <t>Aantal huishoudens dat niks ontvangt</t>
  </si>
  <si>
    <t>Aantal huishoudens alleen folders ontvangt</t>
  </si>
  <si>
    <t>Aantal huishoudens alleen HAH ontvangt</t>
  </si>
  <si>
    <t>Aantal huishoudens selectie folders én HAH</t>
  </si>
  <si>
    <t>Aantal huishoudens selectie folders zonder HAH</t>
  </si>
  <si>
    <t>Aantal huishoudens dat folders én HAH ontvangt</t>
  </si>
  <si>
    <t>Aantal huishoudens per optie, Ja/Ja, excl. huis-aan-huis</t>
  </si>
  <si>
    <t>Aantal huishoudens per optie, Opt-out</t>
  </si>
  <si>
    <t>Aantal huishoudens dat HAH ontvangt</t>
  </si>
  <si>
    <t>Opslag HAH?</t>
  </si>
  <si>
    <t>Aantal inwoners gemeente</t>
  </si>
  <si>
    <t>Additioneel gewicht HAH in toekomstig systeem, City</t>
  </si>
  <si>
    <t>Aantal stickers nodig</t>
  </si>
  <si>
    <t>stickers</t>
  </si>
  <si>
    <t>kg vinyl</t>
  </si>
  <si>
    <t>Gewicht aan stickers</t>
  </si>
  <si>
    <t>Stickerproductie, hernieuwbare energie</t>
  </si>
  <si>
    <t>Stickerproductie, niet-hernieuwbare energie</t>
  </si>
  <si>
    <t>Stickerproductie, water</t>
  </si>
  <si>
    <t>Stickerproductie, GWP100</t>
  </si>
  <si>
    <t>Transport van stickers buiten beschouwing gelaten, want minuscuul</t>
  </si>
  <si>
    <t>Totale impact Stickerproductie, hernieuwbare energie</t>
  </si>
  <si>
    <t>Totale impact Stickerproductie, niet-hernieuwbare energie</t>
  </si>
  <si>
    <t>Totale impact Stickerproductie, water</t>
  </si>
  <si>
    <t>Totale impact Stickerproductie, GWP100</t>
  </si>
  <si>
    <t>Brieven</t>
  </si>
  <si>
    <t>Gewicht aan brieven gemeente</t>
  </si>
  <si>
    <t>kg papier</t>
  </si>
  <si>
    <t>Papier brief en envelop, hernieuwbare energie</t>
  </si>
  <si>
    <t>Papier brief en envelop, niet-hernieuwbare energie</t>
  </si>
  <si>
    <t>Papier brief en envelop, water</t>
  </si>
  <si>
    <t>Papier brief en envelop, GWP100</t>
  </si>
  <si>
    <t>Totale impact Papier brief en envelop, hernieuwbare energie</t>
  </si>
  <si>
    <t>Totale impact Papier brief en envelop, niet-hernieuwbare energie</t>
  </si>
  <si>
    <t>Totale impact Papier brief en envelop, water</t>
  </si>
  <si>
    <t>Totale impact Papier brief en envelop, GWP100</t>
  </si>
  <si>
    <t>Aantal huishoudens in huidige situatie. We gaan er vanuit dat evenveel huishoudens als in huidige situatie folders en HAH ontvangen, dat in de toekomst ook doen. We gaan niet uit van aantal inwoners, maar aantal huishoudens, omdat we ervan uitgaan dat 1 persoon per huishouden de folders leest (nl. degene die verantwoordelijk is voor inkopen)</t>
  </si>
  <si>
    <t>Aantal minuten per uur</t>
  </si>
  <si>
    <t>minuten / uur</t>
  </si>
  <si>
    <t>uur folder lezen / jaar</t>
  </si>
  <si>
    <t>Digitaal lezen, hernieuwbare energie</t>
  </si>
  <si>
    <t>Digitaal lezen, niet-hernieuwbare energie</t>
  </si>
  <si>
    <t>Digitaal lezen, water</t>
  </si>
  <si>
    <t>Digitaal lezen, GWP100</t>
  </si>
  <si>
    <t>Totale impact Digitaal lezen, hernieuwbare energie</t>
  </si>
  <si>
    <t>Totale impact Digitaal lezen, niet-hernieuwbare energie</t>
  </si>
  <si>
    <t>Totale impact Digitaal lezen, water</t>
  </si>
  <si>
    <t>Totale impact Digitaal lezen, GWP100</t>
  </si>
  <si>
    <t>Scenario huidig</t>
  </si>
  <si>
    <t>Impact papier, ong. recl. en geadr. Recl.</t>
  </si>
  <si>
    <t>Impact papier, ong. + geadr. recl. per jaar, hernieuwbare energie</t>
  </si>
  <si>
    <t>Impact papier, ong. + geadr. recl. per jaar, niet-hernieuwbare energie</t>
  </si>
  <si>
    <t>Impact papier, ong. + geadr. recl. per jaar, water</t>
  </si>
  <si>
    <t>Impact papier, ong. + geadr. recl. per jaar, GWP100</t>
  </si>
  <si>
    <t>Impact vervoer, HAH, hernieuwbare energie</t>
  </si>
  <si>
    <t>Impact vervoer, HAH, niet-hernieuwbare energie</t>
  </si>
  <si>
    <t>Impact vervoer, HAH, water</t>
  </si>
  <si>
    <t>Impact vervoer, HAH, GWP100</t>
  </si>
  <si>
    <t>Scenario toekomst</t>
  </si>
  <si>
    <t>Huidig</t>
  </si>
  <si>
    <t>Toekomstig</t>
  </si>
  <si>
    <t>kwh / jaar</t>
  </si>
  <si>
    <t>Wel of geen stickers en brieven nodig</t>
  </si>
  <si>
    <t>Legenda dashboard</t>
  </si>
  <si>
    <t>Dashboard</t>
  </si>
  <si>
    <t>Om een volledig transparant model te creëren, zijn in deze sheet alle in het model gebruikte inputs onder elkaar gezet, inclusief eventuele bronnen en aannames</t>
  </si>
  <si>
    <t>Deze sheet kan door de gebruiker ingezien worden. Het is af te raden om de waarden in deze sheet aan te passen.</t>
  </si>
  <si>
    <t xml:space="preserve">Ook berekeningen zijn voor transparantie toegevoegd. Deze kunnen niet aangepast worden. </t>
  </si>
  <si>
    <t xml:space="preserve">Maar u kunt bijvoorbeeld ook zien wat het effect is als scheidingspercentages omhoog gaan en het systeem gelijk blijft aan het huidige (opt-outsysteem). </t>
  </si>
  <si>
    <t>Toekomstige scenario</t>
  </si>
  <si>
    <t>Scheidingspercentage papier</t>
  </si>
  <si>
    <t>Scheidingspercentage plastic</t>
  </si>
  <si>
    <t>Wekelijkse gewicht ongeadresseerde reclame</t>
  </si>
  <si>
    <t>Wekelijkse gewicht aan verpakking ongeadresseerde reclame</t>
  </si>
  <si>
    <t>Wekelijkse gewicht ongeadresseerde reclame, per hh</t>
  </si>
  <si>
    <t>Wekelijkse gewicht aan verpakking ongeadresseerde reclame, per hh</t>
  </si>
  <si>
    <t>% van plastic ongeadresseerd uit recycled materiaal</t>
  </si>
  <si>
    <t>Impact vervoer druklocatie ongeadresseerd -&gt; Spotta verpaklocaties</t>
  </si>
  <si>
    <t>Aantal huishoudens dat ongeadreseerd, normaal ontvangt</t>
  </si>
  <si>
    <t>Aantal huishoudens dat ongeadreseerd, selectie ontvangt</t>
  </si>
  <si>
    <t>Ongeadresseerd, normaal</t>
  </si>
  <si>
    <t>Wekelijkse gewicht virgin ong. recl., ongeadresseerd normaal (kg)</t>
  </si>
  <si>
    <t>Wekelijkse gewicht recycled ong. recl., ongeadresseerd normaal (kg)</t>
  </si>
  <si>
    <t>Wekelijkse gewicht virgin plastic, ongeadresseerd normaal (kg)</t>
  </si>
  <si>
    <t>Wekelijkse gewicht recycled plastic, ongeadresseerd normaal (kg)</t>
  </si>
  <si>
    <t>Jaarlijkse gewicht virgin ong. recl., ongeadresseerd normaal (kg)</t>
  </si>
  <si>
    <t>Jaarlijkse gewicht recycled ong. recl., ongeadresseerd normaal (kg)</t>
  </si>
  <si>
    <t>Jaarlijkse gewicht virgin plastic, ongeadresseerd normaal (kg)</t>
  </si>
  <si>
    <t>Jaarlijkse gewicht recycled plastic, ongeadresseerd normaal (kg)</t>
  </si>
  <si>
    <t>Geadresseerd, selectie</t>
  </si>
  <si>
    <t>Wekelijkse gewicht virgin ong. recl., geadresseerd selectie (kg)</t>
  </si>
  <si>
    <t>Wekelijkse gewicht recycled ong. recl., geadresseerd selectie (kg)</t>
  </si>
  <si>
    <t>Wekelijkse gewicht virgin plastic, geadresseerd selectie (kg)</t>
  </si>
  <si>
    <t>Wekelijkse gewicht recycled plastic, geadresseerd selectie (kg)</t>
  </si>
  <si>
    <t>Jaarlijkse gewicht virgin ong. recl., geadresseerd selectie (kg)</t>
  </si>
  <si>
    <t>Jaarlijkse gewicht recycled ong. recl., geadresseerd selectie (kg)</t>
  </si>
  <si>
    <t>Jaarlijkse gewicht virgin plastic, geadresseerd selectie (kg)</t>
  </si>
  <si>
    <t>Jaarlijkse gewicht recycled plastic, geadresseerd selectie (kg)</t>
  </si>
  <si>
    <t>Totaalgewicht ongeadresseerd + geadresseerd</t>
  </si>
  <si>
    <t>Wekelijkse gewicht, ongeadresseerd normaal</t>
  </si>
  <si>
    <t>Wekelijkse gewicht, geadresseerd selectie</t>
  </si>
  <si>
    <t>Aantal huishoudens dat ongeadresseerd, normaal ontvangt</t>
  </si>
  <si>
    <t>Aantal huishoudens dat geadresseerde selectie ontvangt</t>
  </si>
  <si>
    <t>Huidige situatie (voorgeprogrammeerd)</t>
  </si>
  <si>
    <t>Toekomstig systeem (drop down menu)</t>
  </si>
  <si>
    <t>Aantal huishoudens alleen ongeaddresseerd reclamedrukwerk ontvangt</t>
  </si>
  <si>
    <t>n.d.</t>
  </si>
  <si>
    <t>Aantal huishoudens aangesloten bij kiesjefolders.nl</t>
  </si>
  <si>
    <t>Kiesjefolders.nl</t>
  </si>
  <si>
    <t>Koninklijke drukkerij Em. De Jong</t>
  </si>
  <si>
    <t>Spotta / Axender</t>
  </si>
  <si>
    <t>Em. De Jong</t>
  </si>
  <si>
    <t>Berekening</t>
  </si>
  <si>
    <t>Kiesjefolders.nl / Spotta / Axender</t>
  </si>
  <si>
    <t>Aanname: gelijk aan standaard folderpakket</t>
  </si>
  <si>
    <t>Vermeden impact, energie uit verbanding</t>
  </si>
  <si>
    <t>--&gt; dat zou een ja/nee-sticker zijn en die is er niet</t>
  </si>
  <si>
    <t>Dit blok gaat over aantal stickers</t>
  </si>
  <si>
    <t>Dit blok maakt de vertaalslag van aantal stickers naar combinatie van stickers, volledige folderpakket en selectie aan folders</t>
  </si>
  <si>
    <t>Dit blok maakt de vertaalslag naar wat daadwerkelijk ontvangen wordt</t>
  </si>
  <si>
    <t>Dit blok maakt de vertaalslag naar wat daadwerkelijk ontvangen wordt. Hier staan slechts 0-en als het scenario Ja/Ja, incl. huis-aan-huis niet is geselecteerd</t>
  </si>
  <si>
    <t>Dit blok maakt de vertaalslag naar wat daadwerkelijk ontvangen wordt. Hier staan slechts 0-en als het scenario Ja/Ja, excl. huis-aan-huis niet is geselecteerd</t>
  </si>
  <si>
    <t>Dit blok maakt de vertaalslag naar wat daadwerkelijk ontvangen wordt. Hier staan slechts 0-en als het scenario opt-out niet is geselecteerd</t>
  </si>
  <si>
    <t>Data ontvangen is totale afstand gereden. Willen dus de impact per km weten, niet per tonkm. Daarom deze waarde op 1000 gezet</t>
  </si>
  <si>
    <t>Water</t>
  </si>
  <si>
    <t>Toekomst</t>
  </si>
  <si>
    <t>CO2</t>
  </si>
  <si>
    <t>Papier, HAH</t>
  </si>
  <si>
    <t>Vervoer folders</t>
  </si>
  <si>
    <t>Vervoer HAH</t>
  </si>
  <si>
    <t>Verwerking papier</t>
  </si>
  <si>
    <t>Verwerking plastic</t>
  </si>
  <si>
    <t>Alles digitaal</t>
  </si>
  <si>
    <t>Totaal</t>
  </si>
  <si>
    <t>Resultaten (impact per jaar)</t>
  </si>
  <si>
    <t>YA513</t>
  </si>
  <si>
    <t>FZ221</t>
  </si>
  <si>
    <t>BJ733</t>
  </si>
  <si>
    <t>XR517</t>
  </si>
  <si>
    <t>LG582</t>
  </si>
  <si>
    <t>KI506</t>
  </si>
  <si>
    <t>FT847</t>
  </si>
  <si>
    <t>TI144</t>
  </si>
  <si>
    <t>TK369</t>
  </si>
  <si>
    <t>OX198</t>
  </si>
  <si>
    <t>XZ667</t>
  </si>
  <si>
    <t>RX928</t>
  </si>
  <si>
    <t>EI582</t>
  </si>
  <si>
    <t>MY307</t>
  </si>
  <si>
    <t>DC341</t>
  </si>
  <si>
    <t>DW172</t>
  </si>
  <si>
    <t>SV400</t>
  </si>
  <si>
    <t>QM990</t>
  </si>
  <si>
    <t>ZM942</t>
  </si>
  <si>
    <t>BO204</t>
  </si>
  <si>
    <t>GE294</t>
  </si>
  <si>
    <t>QO922</t>
  </si>
  <si>
    <t>IK549</t>
  </si>
  <si>
    <t>YK892</t>
  </si>
  <si>
    <t>ON421</t>
  </si>
  <si>
    <t>WQ522</t>
  </si>
  <si>
    <t>BE627</t>
  </si>
  <si>
    <t>CT334</t>
  </si>
  <si>
    <t>MZ561</t>
  </si>
  <si>
    <t>GI581</t>
  </si>
  <si>
    <t>RB990</t>
  </si>
  <si>
    <t>KC565</t>
  </si>
  <si>
    <t>TY858</t>
  </si>
  <si>
    <t>AD776</t>
  </si>
  <si>
    <t>LA357</t>
  </si>
  <si>
    <t>KK473</t>
  </si>
  <si>
    <t>ZO632</t>
  </si>
  <si>
    <t>VO206</t>
  </si>
  <si>
    <t>UX581</t>
  </si>
  <si>
    <t>UF315</t>
  </si>
  <si>
    <t>RE562</t>
  </si>
  <si>
    <t>FA329</t>
  </si>
  <si>
    <t>QD872</t>
  </si>
  <si>
    <t>KZ250</t>
  </si>
  <si>
    <t>SC598</t>
  </si>
  <si>
    <t>CY424</t>
  </si>
  <si>
    <t>WU577</t>
  </si>
  <si>
    <t>PF590</t>
  </si>
  <si>
    <t>FC486</t>
  </si>
  <si>
    <t>IN489</t>
  </si>
  <si>
    <t>IE488</t>
  </si>
  <si>
    <t>EK810</t>
  </si>
  <si>
    <t>SR355</t>
  </si>
  <si>
    <t>HI473</t>
  </si>
  <si>
    <t>AZ987</t>
  </si>
  <si>
    <t>SI330</t>
  </si>
  <si>
    <t>LR940</t>
  </si>
  <si>
    <t>RH283</t>
  </si>
  <si>
    <t>ZW304</t>
  </si>
  <si>
    <t>LY683</t>
  </si>
  <si>
    <t>WV117</t>
  </si>
  <si>
    <t>FZ333</t>
  </si>
  <si>
    <t>EL626</t>
  </si>
  <si>
    <t>RE324</t>
  </si>
  <si>
    <t>FC390</t>
  </si>
  <si>
    <t>JK871</t>
  </si>
  <si>
    <t>BR793</t>
  </si>
  <si>
    <t>RN478</t>
  </si>
  <si>
    <t>UR287</t>
  </si>
  <si>
    <t>GP961</t>
  </si>
  <si>
    <t>JP391</t>
  </si>
  <si>
    <t>KC750</t>
  </si>
  <si>
    <t>PV588</t>
  </si>
  <si>
    <t>UK271</t>
  </si>
  <si>
    <t>LG634</t>
  </si>
  <si>
    <t>RB259</t>
  </si>
  <si>
    <t>SA727</t>
  </si>
  <si>
    <t>DL537</t>
  </si>
  <si>
    <t>OC207</t>
  </si>
  <si>
    <t>EX567</t>
  </si>
  <si>
    <t>NF995</t>
  </si>
  <si>
    <t>OU120</t>
  </si>
  <si>
    <t>LV176</t>
  </si>
  <si>
    <t>NE358</t>
  </si>
  <si>
    <t>IR417</t>
  </si>
  <si>
    <t>LP879</t>
  </si>
  <si>
    <t>CU407</t>
  </si>
  <si>
    <t>QN231</t>
  </si>
  <si>
    <t>VG715</t>
  </si>
  <si>
    <t>TZ314</t>
  </si>
  <si>
    <t>BM248</t>
  </si>
  <si>
    <t>QM217</t>
  </si>
  <si>
    <t>AF932</t>
  </si>
  <si>
    <t>VL724</t>
  </si>
  <si>
    <t>WM488</t>
  </si>
  <si>
    <t>RC157</t>
  </si>
  <si>
    <t>RP353</t>
  </si>
  <si>
    <t>TO715</t>
  </si>
  <si>
    <t>TQ731</t>
  </si>
  <si>
    <t>RU438</t>
  </si>
  <si>
    <t>AQ105</t>
  </si>
  <si>
    <t>KV541</t>
  </si>
  <si>
    <t>RM830</t>
  </si>
  <si>
    <t>SV796</t>
  </si>
  <si>
    <t>HO177</t>
  </si>
  <si>
    <t>QX792</t>
  </si>
  <si>
    <t>MC425</t>
  </si>
  <si>
    <t>DM429</t>
  </si>
  <si>
    <t>RX262</t>
  </si>
  <si>
    <t>FO518</t>
  </si>
  <si>
    <t>NS235</t>
  </si>
  <si>
    <t>BA651</t>
  </si>
  <si>
    <t>HO984</t>
  </si>
  <si>
    <t>UO653</t>
  </si>
  <si>
    <t>YW845</t>
  </si>
  <si>
    <t>LN546</t>
  </si>
  <si>
    <t>US197</t>
  </si>
  <si>
    <t>HR275</t>
  </si>
  <si>
    <t>HP444</t>
  </si>
  <si>
    <t>AQ816</t>
  </si>
  <si>
    <t>DM905</t>
  </si>
  <si>
    <t>RI228</t>
  </si>
  <si>
    <t>SU137</t>
  </si>
  <si>
    <t>JL729</t>
  </si>
  <si>
    <t>ET542</t>
  </si>
  <si>
    <t>ZK579</t>
  </si>
  <si>
    <t>GP760</t>
  </si>
  <si>
    <t>FH615</t>
  </si>
  <si>
    <t>BV642</t>
  </si>
  <si>
    <t>EQ790</t>
  </si>
  <si>
    <t>QR801</t>
  </si>
  <si>
    <t>VS478</t>
  </si>
  <si>
    <t>RU978</t>
  </si>
  <si>
    <t>FV134</t>
  </si>
  <si>
    <t>HH383</t>
  </si>
  <si>
    <t>EG881</t>
  </si>
  <si>
    <t>XO260</t>
  </si>
  <si>
    <t>SV891</t>
  </si>
  <si>
    <t>TV691</t>
  </si>
  <si>
    <t>IT941</t>
  </si>
  <si>
    <t>RY746</t>
  </si>
  <si>
    <t>BA208</t>
  </si>
  <si>
    <t>PX426</t>
  </si>
  <si>
    <t>JS783</t>
  </si>
  <si>
    <t>ZS605</t>
  </si>
  <si>
    <t>XC977</t>
  </si>
  <si>
    <t>IC143</t>
  </si>
  <si>
    <t>JV231</t>
  </si>
  <si>
    <t>AG233</t>
  </si>
  <si>
    <t>GU793</t>
  </si>
  <si>
    <t>OY422</t>
  </si>
  <si>
    <t>HW130</t>
  </si>
  <si>
    <t>EX661</t>
  </si>
  <si>
    <t>KO187</t>
  </si>
  <si>
    <t>HV880</t>
  </si>
  <si>
    <t>TO297</t>
  </si>
  <si>
    <t>CD750</t>
  </si>
  <si>
    <t>AS446</t>
  </si>
  <si>
    <t>NI807</t>
  </si>
  <si>
    <t>VW333</t>
  </si>
  <si>
    <t>AB280</t>
  </si>
  <si>
    <t>UU925</t>
  </si>
  <si>
    <t>HH305</t>
  </si>
  <si>
    <t>YG403</t>
  </si>
  <si>
    <t>TA893</t>
  </si>
  <si>
    <t>KW633</t>
  </si>
  <si>
    <t>FP762</t>
  </si>
  <si>
    <t>AO447</t>
  </si>
  <si>
    <t>GS511</t>
  </si>
  <si>
    <t>EC103</t>
  </si>
  <si>
    <t>WZ801</t>
  </si>
  <si>
    <t>YW946</t>
  </si>
  <si>
    <t>XC132</t>
  </si>
  <si>
    <t>AZ686</t>
  </si>
  <si>
    <t>SJ836</t>
  </si>
  <si>
    <t>GL756</t>
  </si>
  <si>
    <t>ZU949</t>
  </si>
  <si>
    <t>OZ293</t>
  </si>
  <si>
    <t>GA128</t>
  </si>
  <si>
    <t>BZ521</t>
  </si>
  <si>
    <t>YL922</t>
  </si>
  <si>
    <t>WD776</t>
  </si>
  <si>
    <t>NM108</t>
  </si>
  <si>
    <t>XM901</t>
  </si>
  <si>
    <t>EF937</t>
  </si>
  <si>
    <t>ME746</t>
  </si>
  <si>
    <t>YS784</t>
  </si>
  <si>
    <t>PD668</t>
  </si>
  <si>
    <t>DN860</t>
  </si>
  <si>
    <t>GD578</t>
  </si>
  <si>
    <t>RD401</t>
  </si>
  <si>
    <t>AU185</t>
  </si>
  <si>
    <t>ZH460</t>
  </si>
  <si>
    <t>PG593</t>
  </si>
  <si>
    <t>SJ278</t>
  </si>
  <si>
    <t>UX992</t>
  </si>
  <si>
    <t>WA548</t>
  </si>
  <si>
    <t>SW442</t>
  </si>
  <si>
    <t>FD747</t>
  </si>
  <si>
    <t>IO855</t>
  </si>
  <si>
    <t>DX218</t>
  </si>
  <si>
    <t>GP663</t>
  </si>
  <si>
    <t>BJ305</t>
  </si>
  <si>
    <t>VU959</t>
  </si>
  <si>
    <t>LA973</t>
  </si>
  <si>
    <t>LU621</t>
  </si>
  <si>
    <t>VG751</t>
  </si>
  <si>
    <t>JA592</t>
  </si>
  <si>
    <t>VJ341</t>
  </si>
  <si>
    <t>UR429</t>
  </si>
  <si>
    <t>LT674</t>
  </si>
  <si>
    <t>AT282</t>
  </si>
  <si>
    <t>ZV655</t>
  </si>
  <si>
    <t>KE624</t>
  </si>
  <si>
    <t>HN613</t>
  </si>
  <si>
    <t>FJ351</t>
  </si>
  <si>
    <t>JQ167</t>
  </si>
  <si>
    <t>VN657</t>
  </si>
  <si>
    <t>FT332</t>
  </si>
  <si>
    <t>UO299</t>
  </si>
  <si>
    <t>LV285</t>
  </si>
  <si>
    <t>DI264</t>
  </si>
  <si>
    <t>HR409</t>
  </si>
  <si>
    <t>VU786</t>
  </si>
  <si>
    <t>TP386</t>
  </si>
  <si>
    <t>GI221</t>
  </si>
  <si>
    <t>WL299</t>
  </si>
  <si>
    <t>CI865</t>
  </si>
  <si>
    <t>GM133</t>
  </si>
  <si>
    <t>JU737</t>
  </si>
  <si>
    <t>XX904</t>
  </si>
  <si>
    <t>KA560</t>
  </si>
  <si>
    <t>YH139</t>
  </si>
  <si>
    <t>BG787</t>
  </si>
  <si>
    <t>SW702</t>
  </si>
  <si>
    <t>RU649</t>
  </si>
  <si>
    <t>PB596</t>
  </si>
  <si>
    <t>FI491</t>
  </si>
  <si>
    <t>QL805</t>
  </si>
  <si>
    <t>LA292</t>
  </si>
  <si>
    <t>KX109</t>
  </si>
  <si>
    <t>CR891</t>
  </si>
  <si>
    <t>MW227</t>
  </si>
  <si>
    <t>UN365</t>
  </si>
  <si>
    <t>DI710</t>
  </si>
  <si>
    <t>BT470</t>
  </si>
  <si>
    <t>GM569</t>
  </si>
  <si>
    <t>PW107</t>
  </si>
  <si>
    <t>SN865</t>
  </si>
  <si>
    <t>JI787</t>
  </si>
  <si>
    <t>AF926</t>
  </si>
  <si>
    <t>YZ887</t>
  </si>
  <si>
    <t>DA966</t>
  </si>
  <si>
    <t>YA897</t>
  </si>
  <si>
    <t>JL875</t>
  </si>
  <si>
    <t>FK787</t>
  </si>
  <si>
    <t>AK822</t>
  </si>
  <si>
    <t>EK122</t>
  </si>
  <si>
    <t>TW703</t>
  </si>
  <si>
    <t>QY451</t>
  </si>
  <si>
    <t>TO664</t>
  </si>
  <si>
    <t>XL383</t>
  </si>
  <si>
    <t>RD862</t>
  </si>
  <si>
    <t>MF793</t>
  </si>
  <si>
    <t>XB276</t>
  </si>
  <si>
    <t>XR957</t>
  </si>
  <si>
    <t>GP272</t>
  </si>
  <si>
    <t>JE531</t>
  </si>
  <si>
    <t>VF345</t>
  </si>
  <si>
    <t>CD800</t>
  </si>
  <si>
    <t>BI278</t>
  </si>
  <si>
    <t>NH972</t>
  </si>
  <si>
    <t>QT381</t>
  </si>
  <si>
    <t>BG718</t>
  </si>
  <si>
    <t>PF754</t>
  </si>
  <si>
    <t>SA774</t>
  </si>
  <si>
    <t>GH255</t>
  </si>
  <si>
    <t>NM344</t>
  </si>
  <si>
    <t>ZP324</t>
  </si>
  <si>
    <t>EH859</t>
  </si>
  <si>
    <t>JL870</t>
  </si>
  <si>
    <t>JR870</t>
  </si>
  <si>
    <t>TN372</t>
  </si>
  <si>
    <t>OU912</t>
  </si>
  <si>
    <t>OF555</t>
  </si>
  <si>
    <t>AD272</t>
  </si>
  <si>
    <t>YE181</t>
  </si>
  <si>
    <t>PU600</t>
  </si>
  <si>
    <t>CY628</t>
  </si>
  <si>
    <t>MB600</t>
  </si>
  <si>
    <t>AU104</t>
  </si>
  <si>
    <t>KS272</t>
  </si>
  <si>
    <t>WH343</t>
  </si>
  <si>
    <t>AE397</t>
  </si>
  <si>
    <t>SH441</t>
  </si>
  <si>
    <t>QN679</t>
  </si>
  <si>
    <t>NB847</t>
  </si>
  <si>
    <t>RS596</t>
  </si>
  <si>
    <t>GY149</t>
  </si>
  <si>
    <t>PT784</t>
  </si>
  <si>
    <t>WC568</t>
  </si>
  <si>
    <t>PG729</t>
  </si>
  <si>
    <t>LZ583</t>
  </si>
  <si>
    <t>LC697</t>
  </si>
  <si>
    <t>NG470</t>
  </si>
  <si>
    <t>LM377</t>
  </si>
  <si>
    <t>NL190</t>
  </si>
  <si>
    <t>KG140</t>
  </si>
  <si>
    <t>KE909</t>
  </si>
  <si>
    <t>QX998</t>
  </si>
  <si>
    <t>GW882</t>
  </si>
  <si>
    <t>EI729</t>
  </si>
  <si>
    <t>BW271</t>
  </si>
  <si>
    <t>JS542</t>
  </si>
  <si>
    <t>AM470</t>
  </si>
  <si>
    <t>WL476</t>
  </si>
  <si>
    <t>TF354</t>
  </si>
  <si>
    <t>LT215</t>
  </si>
  <si>
    <t>DW282</t>
  </si>
  <si>
    <t>IL747</t>
  </si>
  <si>
    <t>ZP126</t>
  </si>
  <si>
    <t>BS906</t>
  </si>
  <si>
    <t>HY970</t>
  </si>
  <si>
    <t>KD958</t>
  </si>
  <si>
    <t>AQ689</t>
  </si>
  <si>
    <t>HQ455</t>
  </si>
  <si>
    <t>VK351</t>
  </si>
  <si>
    <t>NL218</t>
  </si>
  <si>
    <t>XO765</t>
  </si>
  <si>
    <t>II388</t>
  </si>
  <si>
    <t>KU520</t>
  </si>
  <si>
    <t>YQ451</t>
  </si>
  <si>
    <t>SE558</t>
  </si>
  <si>
    <t>NC724</t>
  </si>
  <si>
    <t>ZI768</t>
  </si>
  <si>
    <t>NH396</t>
  </si>
  <si>
    <t>NK458</t>
  </si>
  <si>
    <t>QD964</t>
  </si>
  <si>
    <t>WY266</t>
  </si>
  <si>
    <t>NJ366</t>
  </si>
  <si>
    <t>TG246</t>
  </si>
  <si>
    <t>WC451</t>
  </si>
  <si>
    <t>HF582</t>
  </si>
  <si>
    <t>UE684</t>
  </si>
  <si>
    <t>LD962</t>
  </si>
  <si>
    <t>NG997</t>
  </si>
  <si>
    <t>YH880</t>
  </si>
  <si>
    <t>IT598</t>
  </si>
  <si>
    <t>HK747</t>
  </si>
  <si>
    <t>XO967</t>
  </si>
  <si>
    <t>FE986</t>
  </si>
  <si>
    <t>KO439</t>
  </si>
  <si>
    <t>CX573</t>
  </si>
  <si>
    <t>XA401</t>
  </si>
  <si>
    <t>Selecteer gemeente</t>
  </si>
  <si>
    <t>Bijbehorende wachtwoord</t>
  </si>
  <si>
    <t>Wachtwoorden</t>
  </si>
  <si>
    <t>Typ uw wachtwoord</t>
  </si>
  <si>
    <t>Login als u voorgeprogrammeerde cijfers wil gebruiken</t>
  </si>
  <si>
    <t xml:space="preserve">4. Vul vervolgens een toekomstig scenario in waarmee u de huidige situatie wil vergelijken. U kunt bijvoorbeeld kiezen voor een opt-insysteem, inclusief huis-aan-huisbladen. </t>
  </si>
  <si>
    <t>3. Als u kiest zelf cijfers in te vullen, verschijnt er een lijstje gele cellen. Vul deze in. In de handleiding wordt per indicator uitleg gegeven.</t>
  </si>
  <si>
    <t>5. Bekijk de resultaten. Op sommige computers is het nodig op 'F9' te drukken, voordat het model de resultaten herberekent.</t>
  </si>
  <si>
    <t>Overzicht</t>
  </si>
  <si>
    <t>Productie papier, folders</t>
  </si>
  <si>
    <t>Productie folie</t>
  </si>
  <si>
    <t>.</t>
  </si>
  <si>
    <t>Aantal kilo naar ton</t>
  </si>
  <si>
    <t>kilo / ton</t>
  </si>
  <si>
    <t>Aantal huishoudens aangemeld voor geadresseerd reclamedrukwerk</t>
  </si>
  <si>
    <t xml:space="preserve">Gekozen omdat volgens definitie van newsprint deze wordt gebruik voor folders. Graphical paper wordt gebruik voor magazines, dus niet gekozen. </t>
  </si>
  <si>
    <t>paper production, newsprint, virgin, RER, (Author: Roland Hischier active)</t>
  </si>
  <si>
    <t>Per kg output (100% gerecycled papier)</t>
  </si>
  <si>
    <t xml:space="preserve">Met deze tool kunt u de milieu-impact bepalen van het invoeren van een Ja/Ja-sticker in uw gemeente. Op deze pagina wordt de werking van de tool kort uitgelegd. </t>
  </si>
  <si>
    <t>Voor een uitgebreide toelichting, verwijzen we u door naar de gebruikershandleiding.</t>
  </si>
  <si>
    <t>Productie papier, HAH</t>
  </si>
  <si>
    <t>Vervoer (vrachtwagen), hernieuwbare energie</t>
  </si>
  <si>
    <t>Vervoer (vrachtwagen), niet-hernieuwbare energie</t>
  </si>
  <si>
    <t>Vervoer (vrachtwagen), water</t>
  </si>
  <si>
    <t>Vervoer (vrachtwagen), GWP100</t>
  </si>
  <si>
    <t>Afstand druklocatie HAH -&gt; Gemeente</t>
  </si>
  <si>
    <t>Optimaliseren opt-out (Nee/Nee)</t>
  </si>
  <si>
    <t>*Let op! U gebruikt zelfgekozen waarden in het huidige scenario. Wees zorgvuldig met het interpreteren van de resultaten. Wanneer de gekozen waarden onjuist zijn, zullen de resultaten ook niet juist zijn.</t>
  </si>
  <si>
    <t>Opslag lokale folders</t>
  </si>
  <si>
    <t>Aanname dat lokale ondernemers 5% bovenop bestaande folderpakket bezorgen</t>
  </si>
  <si>
    <t>Opslag lokale ondernemers</t>
  </si>
  <si>
    <t>Jaarlijkse totaalgewicht, excl. Opslag</t>
  </si>
  <si>
    <t>kg</t>
  </si>
  <si>
    <t>Jaarlijkse gewicht opslag lokale folders (kg), recycled</t>
  </si>
  <si>
    <t>Gerecycled, ong. recl. + geaddr. + opslag lokaal</t>
  </si>
  <si>
    <t>Totaalgewicht ongeadresseerd + geadresseerd + lokaal</t>
  </si>
  <si>
    <t>Jaarlijkse gewicht virgin papier ongeaddr. + geaddr. + lokaal reclamedrukwerk (kg)</t>
  </si>
  <si>
    <t>Jaarlijkse gewicht recycled papier ongeaddr. + geaddr. + lokaal reclamedrukwerk (kg)</t>
  </si>
  <si>
    <t>Jaarlijkse gewicht virgin plastic, ongeaddr. + geaddr. + lokaal reclamedrukwerk (kg)</t>
  </si>
  <si>
    <t>Jaarlijkse gewicht recycled plastic, ongeaddr. + geaddr. + lokaal reclamedrukwerk (kg)</t>
  </si>
  <si>
    <t>Wekelijkse gewicht opslag lokale folders (kg), recycled</t>
  </si>
  <si>
    <t>Wekelijkse gewicht, ongeadr. + geaddr. + lokaal</t>
  </si>
  <si>
    <t>Waterbedeffect treedt op (hoeveelheid huis-aan-huis verdubbelt)</t>
  </si>
  <si>
    <t>Wekelijkse extra gewicht huis-aan-huisbladen bij waterbedeffect</t>
  </si>
  <si>
    <t>Ongeadresseerd</t>
  </si>
  <si>
    <t>1 = Ja / 0 = Nee</t>
  </si>
  <si>
    <t>Waterbedeffect kan optreden in dit scenario?</t>
  </si>
  <si>
    <t>Energie</t>
  </si>
  <si>
    <t>Productie Ja/Ja-stickers</t>
  </si>
  <si>
    <t>Productie brieven nieuwe systeem</t>
  </si>
  <si>
    <t>Papier, reclamedrukwerk</t>
  </si>
  <si>
    <t>Materiaalgebruik</t>
  </si>
  <si>
    <t>Plastic, reclamedrukwerk</t>
  </si>
  <si>
    <t>Plastic, HAH</t>
  </si>
  <si>
    <t>Productie folders</t>
  </si>
  <si>
    <t>Productie HAH</t>
  </si>
  <si>
    <t>% van papier ongeadresseerde reclame uit gerecycled materiaal</t>
  </si>
  <si>
    <t>% van papier huis-aan-huisbladen uit gerecycled materiaal</t>
  </si>
  <si>
    <t>Contact met VNP</t>
  </si>
  <si>
    <t>https://v36.ecoquery.ecoinvent.org/Details/LCIA/dd8955fe-9fa9-4727-a8f9-da0787f61f4c/06590a66-662a-4885-8494-ad0cf410f956</t>
  </si>
  <si>
    <t>electricity, from municipal waste incineration to generic market for electricity, medium voltage, NL, (Author: Karin Treyer active)</t>
  </si>
  <si>
    <t>Dataset heeft betrekking op elektriciteit uit afvalverbranding</t>
  </si>
  <si>
    <t>Wekelijkse gewicht virgin, geadresseerd selectie (kg)</t>
  </si>
  <si>
    <t>Wekelijkse gewicht recycled, geadresseerd selectie (kg)</t>
  </si>
  <si>
    <t>Jaarlijkse gewicht virgin, geadresseerd selectie (kg)</t>
  </si>
  <si>
    <t>Jaarlijkse gewicht recycled, geadresseerd selectie (kg)</t>
  </si>
  <si>
    <t>Vinyl, Ja/Ja-stickers</t>
  </si>
  <si>
    <t>Papier brieven nieuwe systeem</t>
  </si>
  <si>
    <t>Aantal woningen</t>
  </si>
  <si>
    <t>Woningen</t>
  </si>
  <si>
    <t>Aantal woningen gemeente</t>
  </si>
  <si>
    <t>% brievenbussen Nee/Nee-sticker</t>
  </si>
  <si>
    <t>% brievenbussen Ja/Ja-sticker</t>
  </si>
  <si>
    <t>% brievenbussen Nee/Ja-sticker</t>
  </si>
  <si>
    <t>% brievenbussen geen sticker</t>
  </si>
  <si>
    <t>Wekelijkse gewicht ongeadresseerde reclame, gram per adres</t>
  </si>
  <si>
    <t>Wekelijkse gewicht huis-aan-huisbladen, gram per adres</t>
  </si>
  <si>
    <t>Wekelijkse gewicht aan verpakking huis-aan-huisbladen, gram per adres</t>
  </si>
  <si>
    <t>Wekelijkse gewicht aan verpakking ongeadresseerde reclame, gram per adres</t>
  </si>
  <si>
    <t>Aantal minuten digitaal huis-aan-huisbladen lezen</t>
  </si>
  <si>
    <t>Contact met Roy Keller</t>
  </si>
  <si>
    <t>Uren folders lezen per jaar</t>
  </si>
  <si>
    <t>Uren HAH lezen per jaar</t>
  </si>
  <si>
    <t xml:space="preserve">Totaal uren folders en HAH jaar </t>
  </si>
  <si>
    <t>Percentage ingezameld folie dat alsnog wordt verbrand</t>
  </si>
  <si>
    <t>1. Als u voorgeprogrammeerde cijfers wilt gebruiken, dient u in te loggen. Het wachtwoord voor uw gemeente kunt u opvragen bij de VNG. De grijze cellen worden nu automatisch gevuld.</t>
  </si>
  <si>
    <t>2. Kies of u voorgeprogrammeerde inputs wilt gebruiken, of deze zelf wil invullen</t>
  </si>
  <si>
    <t>Folderdam</t>
  </si>
  <si>
    <t>UB111</t>
  </si>
  <si>
    <t>Per ketenstap</t>
  </si>
  <si>
    <t>Besparing in perspectief geplaatst (huidig minus toekomstig)</t>
  </si>
  <si>
    <t>Energiegebruik (MJ-eq)</t>
  </si>
  <si>
    <t>Watergebruik</t>
  </si>
  <si>
    <t>Emissies (kg CO2-eq)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</si>
</sst>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
    <numFmt numFmtId="166" formatCode="0.00000"/>
    <numFmt numFmtId="167" formatCode="0.0"/>
    <numFmt numFmtId="168" formatCode="0.000000"/>
    <numFmt numFmtId="169" formatCode="#,##0.0"/>
    <numFmt numFmtId="170" formatCode="#,##0.0000"/>
  </numFmts>
  <fonts count="50" x14ac:knownFonts="1">
    <font>
      <sz val="11"/>
      <color theme="1"/>
      <name val="Calibri"/>
      <family val="2"/>
      <scheme val="minor"/>
    </font>
    <font>
      <sz val="11"/>
      <color theme="1"/>
      <name val="Calibri"/>
      <family val="2"/>
    </font>
    <font>
      <sz val="10"/>
      <color theme="1"/>
      <name val="Calibri Light"/>
      <family val="2"/>
      <scheme val="major"/>
    </font>
    <font>
      <b/>
      <sz val="10"/>
      <color theme="1"/>
      <name val="Calibri Light"/>
      <family val="2"/>
      <scheme val="major"/>
    </font>
    <font>
      <sz val="9"/>
      <color theme="1"/>
      <name val="Calibri Light"/>
      <family val="2"/>
      <scheme val="major"/>
    </font>
    <font>
      <i/>
      <sz val="9"/>
      <color theme="1"/>
      <name val="Calibri Light"/>
      <family val="2"/>
      <scheme val="major"/>
    </font>
    <font>
      <b/>
      <sz val="9"/>
      <color theme="1"/>
      <name val="Calibri Light"/>
      <family val="2"/>
      <scheme val="major"/>
    </font>
    <font>
      <b/>
      <sz val="11"/>
      <color theme="1"/>
      <name val="Calibri Light"/>
      <family val="2"/>
      <scheme val="major"/>
    </font>
    <font>
      <sz val="11"/>
      <color theme="1"/>
      <name val="Calibri Light"/>
      <family val="2"/>
      <scheme val="major"/>
    </font>
    <font>
      <sz val="11"/>
      <color rgb="FF0000FF"/>
      <name val="Calibri Light"/>
      <family val="2"/>
      <scheme val="major"/>
    </font>
    <font>
      <sz val="11"/>
      <color theme="1"/>
      <name val="Calibri"/>
      <family val="2"/>
      <scheme val="minor"/>
    </font>
    <font>
      <sz val="11"/>
      <color rgb="FF000000"/>
      <name val="Calibri Light"/>
      <family val="2"/>
      <scheme val="major"/>
    </font>
    <font>
      <sz val="9"/>
      <color rgb="FF000000"/>
      <name val="Calibri Light"/>
      <family val="2"/>
      <scheme val="major"/>
    </font>
    <font>
      <b/>
      <sz val="10"/>
      <color theme="1"/>
      <name val="Ebrima"/>
    </font>
    <font>
      <b/>
      <sz val="11"/>
      <color theme="1"/>
      <name val="Ebrima"/>
    </font>
    <font>
      <b/>
      <i/>
      <sz val="11"/>
      <color theme="1"/>
      <name val="Calibri Light"/>
      <family val="2"/>
      <scheme val="major"/>
    </font>
    <font>
      <b/>
      <sz val="12"/>
      <color theme="1"/>
      <name val="Calibri Light"/>
      <family val="2"/>
      <scheme val="major"/>
    </font>
    <font>
      <sz val="9"/>
      <color theme="1"/>
      <name val="Calibri Light"/>
      <family val="2"/>
      <scheme val="major"/>
    </font>
    <font>
      <sz val="9"/>
      <color theme="5" tint="0.79998168889431442"/>
      <name val="Calibri Light"/>
      <family val="2"/>
      <scheme val="major"/>
    </font>
    <font>
      <i/>
      <sz val="9"/>
      <color theme="5" tint="0.79998168889431442"/>
      <name val="Calibri Light"/>
      <family val="2"/>
      <scheme val="major"/>
    </font>
    <font>
      <sz val="8"/>
      <color rgb="FF000000"/>
      <name val="Segoe UI"/>
      <family val="2"/>
    </font>
    <font>
      <b/>
      <sz val="11"/>
      <color theme="0"/>
      <name val="Calibri"/>
      <family val="2"/>
      <scheme val="minor"/>
    </font>
    <font>
      <sz val="11"/>
      <color rgb="FFFF0000"/>
      <name val="Calibri"/>
      <family val="2"/>
      <scheme val="minor"/>
    </font>
    <font>
      <b/>
      <sz val="11"/>
      <color theme="1"/>
      <name val="Calibri"/>
      <family val="2"/>
      <scheme val="minor"/>
    </font>
    <font>
      <sz val="11"/>
      <color rgb="FF0000FF"/>
      <name val="Calibri"/>
      <family val="2"/>
      <scheme val="minor"/>
    </font>
    <font>
      <i/>
      <sz val="11"/>
      <color theme="1"/>
      <name val="Calibri Light"/>
      <family val="2"/>
      <scheme val="major"/>
    </font>
    <font>
      <i/>
      <sz val="11"/>
      <color theme="1"/>
      <name val="Calibri"/>
      <family val="2"/>
      <scheme val="minor"/>
    </font>
    <font>
      <i/>
      <u/>
      <sz val="11"/>
      <color theme="1"/>
      <name val="Calibri Light"/>
      <family val="2"/>
      <scheme val="major"/>
    </font>
    <font>
      <i/>
      <u/>
      <sz val="11"/>
      <color theme="1"/>
      <name val="Calibri"/>
      <family val="2"/>
      <scheme val="minor"/>
    </font>
    <font>
      <sz val="11"/>
      <name val="Calibri"/>
      <family val="2"/>
      <scheme val="minor"/>
    </font>
    <font>
      <sz val="11"/>
      <color rgb="FF000000"/>
      <name val="Calibri"/>
      <family val="2"/>
      <scheme val="minor"/>
    </font>
    <font>
      <b/>
      <sz val="10"/>
      <color rgb="FF000000"/>
      <name val="Trebuchet MS"/>
      <family val="2"/>
    </font>
    <font>
      <b/>
      <sz val="8"/>
      <color rgb="FF000000"/>
      <name val="Trebuchet MS"/>
      <family val="2"/>
    </font>
    <font>
      <u/>
      <sz val="11"/>
      <color theme="10"/>
      <name val="Calibri"/>
      <family val="2"/>
      <scheme val="minor"/>
    </font>
    <font>
      <i/>
      <sz val="11"/>
      <color rgb="FFFF0000"/>
      <name val="Calibri"/>
      <family val="2"/>
      <scheme val="minor"/>
    </font>
    <font>
      <i/>
      <sz val="11"/>
      <color rgb="FF000000"/>
      <name val="Calibri"/>
      <family val="2"/>
      <scheme val="minor"/>
    </font>
    <font>
      <sz val="9"/>
      <name val="Calibri Light"/>
      <family val="2"/>
      <scheme val="major"/>
    </font>
    <font>
      <sz val="11"/>
      <color theme="0"/>
      <name val="Calibri"/>
      <family val="2"/>
      <scheme val="minor"/>
    </font>
    <font>
      <b/>
      <sz val="10"/>
      <color theme="0"/>
      <name val="Calibri Light"/>
      <family val="2"/>
      <scheme val="major"/>
    </font>
    <font>
      <sz val="10"/>
      <color theme="0"/>
      <name val="Calibri Light"/>
      <family val="2"/>
      <scheme val="major"/>
    </font>
    <font>
      <b/>
      <sz val="9"/>
      <color theme="5"/>
      <name val="Calibri Light"/>
      <family val="2"/>
      <scheme val="major"/>
    </font>
    <font>
      <b/>
      <sz val="9"/>
      <color theme="5" tint="0.79998168889431442"/>
      <name val="Calibri Light"/>
      <family val="2"/>
      <scheme val="major"/>
    </font>
    <font>
      <b/>
      <sz val="11"/>
      <color theme="0"/>
      <name val="Calibri Light"/>
      <family val="2"/>
      <scheme val="major"/>
    </font>
    <font>
      <sz val="11"/>
      <color theme="0"/>
      <name val="Calibri Light"/>
      <family val="2"/>
      <scheme val="major"/>
    </font>
    <font>
      <b/>
      <i/>
      <sz val="11"/>
      <color theme="0"/>
      <name val="Calibri Light"/>
      <family val="2"/>
      <scheme val="major"/>
    </font>
    <font>
      <b/>
      <u/>
      <sz val="9"/>
      <color theme="1"/>
      <name val="Calibri Light"/>
      <family val="2"/>
      <scheme val="major"/>
    </font>
    <font>
      <b/>
      <i/>
      <sz val="9"/>
      <color theme="1"/>
      <name val="Calibri Light"/>
      <family val="2"/>
      <scheme val="major"/>
    </font>
    <font>
      <b/>
      <sz val="9"/>
      <color theme="4"/>
      <name val="Calibri Light"/>
      <family val="2"/>
      <scheme val="major"/>
    </font>
    <font>
      <b/>
      <sz val="9"/>
      <color theme="7" tint="-0.249977111117893"/>
      <name val="Calibri Light"/>
      <family val="2"/>
      <scheme val="major"/>
    </font>
    <font>
      <b/>
      <sz val="9"/>
      <color theme="6" tint="-0.249977111117893"/>
      <name val="Calibri Light"/>
      <family val="2"/>
      <scheme val="major"/>
    </font>
  </fonts>
  <fills count="1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ADE600"/>
        <bgColor indexed="64"/>
      </patternFill>
    </fill>
    <fill>
      <patternFill patternType="solid">
        <fgColor theme="7" tint="0.79998168889431442"/>
        <bgColor indexed="64"/>
      </patternFill>
    </fill>
    <fill>
      <patternFill patternType="solid">
        <fgColor rgb="FFD9D9D9"/>
        <bgColor indexed="64"/>
      </patternFill>
    </fill>
    <fill>
      <patternFill patternType="solid">
        <fgColor rgb="FFFF0000"/>
        <bgColor indexed="64"/>
      </patternFill>
    </fill>
    <fill>
      <patternFill patternType="solid">
        <fgColor rgb="FFFFFFAF"/>
        <bgColor indexed="64"/>
      </patternFill>
    </fill>
    <fill>
      <patternFill patternType="solid">
        <fgColor theme="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tint="-0.34998626667073579"/>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4">
    <xf numFmtId="0" fontId="0" fillId="0" borderId="0"/>
    <xf numFmtId="0" fontId="1" fillId="0" borderId="0"/>
    <xf numFmtId="9" fontId="10" fillId="0" borderId="0" applyFont="0" applyFill="0" applyBorder="0" applyAlignment="0" applyProtection="0"/>
    <xf numFmtId="0" fontId="33" fillId="0" borderId="0" applyNumberFormat="0" applyFill="0" applyBorder="0" applyAlignment="0" applyProtection="0"/>
  </cellStyleXfs>
  <cellXfs count="285">
    <xf numFmtId="0" fontId="0" fillId="0" borderId="0" xfId="0"/>
    <xf numFmtId="0" fontId="2" fillId="0" borderId="0" xfId="1" applyFont="1"/>
    <xf numFmtId="0" fontId="4" fillId="3" borderId="0" xfId="1" applyFont="1" applyFill="1"/>
    <xf numFmtId="0" fontId="5" fillId="3" borderId="0" xfId="1" applyFont="1" applyFill="1"/>
    <xf numFmtId="0" fontId="7" fillId="3" borderId="0" xfId="0" applyFont="1" applyFill="1"/>
    <xf numFmtId="0" fontId="8" fillId="3" borderId="0" xfId="0" applyFont="1" applyFill="1"/>
    <xf numFmtId="0" fontId="7" fillId="5" borderId="0" xfId="0" applyFont="1" applyFill="1"/>
    <xf numFmtId="0" fontId="8" fillId="5" borderId="0" xfId="0" applyFont="1" applyFill="1"/>
    <xf numFmtId="0" fontId="7" fillId="0" borderId="0" xfId="0" applyFont="1"/>
    <xf numFmtId="0" fontId="8" fillId="0" borderId="0" xfId="0" applyFont="1"/>
    <xf numFmtId="0" fontId="3" fillId="0" borderId="0" xfId="1" applyFont="1"/>
    <xf numFmtId="0" fontId="4" fillId="4" borderId="0" xfId="1" applyFont="1" applyFill="1" applyBorder="1"/>
    <xf numFmtId="0" fontId="4" fillId="7" borderId="0" xfId="1" applyFont="1" applyFill="1" applyBorder="1"/>
    <xf numFmtId="0" fontId="4" fillId="3" borderId="0" xfId="1" applyFont="1" applyFill="1" applyBorder="1"/>
    <xf numFmtId="0" fontId="5" fillId="3" borderId="0" xfId="1" applyFont="1" applyFill="1" applyBorder="1"/>
    <xf numFmtId="0" fontId="4" fillId="5" borderId="2" xfId="1" applyFont="1" applyFill="1" applyBorder="1"/>
    <xf numFmtId="0" fontId="6" fillId="5" borderId="3" xfId="1" applyFont="1" applyFill="1" applyBorder="1"/>
    <xf numFmtId="0" fontId="5" fillId="5" borderId="3" xfId="1" applyFont="1" applyFill="1" applyBorder="1"/>
    <xf numFmtId="0" fontId="4" fillId="5" borderId="5" xfId="1" applyFont="1" applyFill="1" applyBorder="1"/>
    <xf numFmtId="0" fontId="5" fillId="5" borderId="0" xfId="1" applyFont="1" applyFill="1" applyBorder="1"/>
    <xf numFmtId="0" fontId="4" fillId="5" borderId="0" xfId="1" applyFont="1" applyFill="1" applyBorder="1"/>
    <xf numFmtId="0" fontId="4" fillId="5" borderId="7" xfId="1" applyFont="1" applyFill="1" applyBorder="1"/>
    <xf numFmtId="0" fontId="4" fillId="5" borderId="8" xfId="1" applyFont="1" applyFill="1" applyBorder="1"/>
    <xf numFmtId="0" fontId="5" fillId="5" borderId="8" xfId="1" applyFont="1" applyFill="1" applyBorder="1"/>
    <xf numFmtId="0" fontId="4" fillId="5" borderId="3" xfId="1" applyFont="1" applyFill="1" applyBorder="1"/>
    <xf numFmtId="0" fontId="4" fillId="5" borderId="4" xfId="1" applyFont="1" applyFill="1" applyBorder="1"/>
    <xf numFmtId="0" fontId="4" fillId="5" borderId="6" xfId="1" applyFont="1" applyFill="1" applyBorder="1"/>
    <xf numFmtId="0" fontId="4" fillId="5" borderId="9" xfId="1" applyFont="1" applyFill="1" applyBorder="1"/>
    <xf numFmtId="0" fontId="4" fillId="9" borderId="0" xfId="1" applyFont="1" applyFill="1" applyBorder="1"/>
    <xf numFmtId="0" fontId="14" fillId="5" borderId="0" xfId="1" applyFont="1" applyFill="1" applyBorder="1"/>
    <xf numFmtId="0" fontId="15" fillId="5" borderId="0" xfId="0" applyFont="1" applyFill="1"/>
    <xf numFmtId="0" fontId="15" fillId="0" borderId="0" xfId="0" applyFont="1"/>
    <xf numFmtId="0" fontId="9" fillId="0" borderId="0" xfId="0" applyNumberFormat="1" applyFont="1"/>
    <xf numFmtId="9" fontId="9" fillId="0" borderId="0" xfId="0" applyNumberFormat="1" applyFont="1"/>
    <xf numFmtId="0" fontId="16" fillId="0" borderId="0" xfId="1" applyFont="1"/>
    <xf numFmtId="0" fontId="8" fillId="3" borderId="10" xfId="0" applyFont="1" applyFill="1" applyBorder="1"/>
    <xf numFmtId="0" fontId="8" fillId="0" borderId="10" xfId="0" applyFont="1" applyBorder="1"/>
    <xf numFmtId="0" fontId="8" fillId="5" borderId="10" xfId="0" applyFont="1" applyFill="1" applyBorder="1"/>
    <xf numFmtId="0" fontId="9" fillId="0" borderId="10" xfId="0" applyNumberFormat="1" applyFont="1" applyBorder="1"/>
    <xf numFmtId="164" fontId="11" fillId="0" borderId="10" xfId="0" applyNumberFormat="1" applyFont="1" applyBorder="1"/>
    <xf numFmtId="0" fontId="0" fillId="5" borderId="0" xfId="0" applyFill="1"/>
    <xf numFmtId="0" fontId="8" fillId="10" borderId="0" xfId="0" applyFont="1" applyFill="1"/>
    <xf numFmtId="0" fontId="7" fillId="3" borderId="10" xfId="0" applyFont="1" applyFill="1" applyBorder="1"/>
    <xf numFmtId="0" fontId="0" fillId="0" borderId="0" xfId="0" applyFill="1"/>
    <xf numFmtId="0" fontId="0" fillId="11" borderId="0" xfId="0" applyFill="1"/>
    <xf numFmtId="0" fontId="21" fillId="11" borderId="0" xfId="0" applyFont="1" applyFill="1"/>
    <xf numFmtId="0" fontId="24" fillId="0" borderId="0" xfId="0" applyNumberFormat="1" applyFont="1"/>
    <xf numFmtId="164" fontId="24" fillId="0" borderId="0" xfId="0" applyNumberFormat="1" applyFont="1"/>
    <xf numFmtId="9" fontId="24" fillId="0" borderId="0" xfId="0" applyNumberFormat="1" applyFont="1"/>
    <xf numFmtId="0" fontId="23" fillId="0" borderId="0" xfId="0" applyFont="1"/>
    <xf numFmtId="0" fontId="25" fillId="3" borderId="0" xfId="0" applyFont="1" applyFill="1"/>
    <xf numFmtId="0" fontId="25" fillId="0" borderId="0" xfId="0" applyFont="1"/>
    <xf numFmtId="0" fontId="26" fillId="11" borderId="0" xfId="0" applyFont="1" applyFill="1"/>
    <xf numFmtId="0" fontId="26" fillId="0" borderId="0" xfId="0" applyFont="1"/>
    <xf numFmtId="0" fontId="27" fillId="3" borderId="0" xfId="0" applyFont="1" applyFill="1"/>
    <xf numFmtId="0" fontId="27" fillId="0" borderId="0" xfId="0" applyFont="1"/>
    <xf numFmtId="0" fontId="28" fillId="11" borderId="0" xfId="0" applyFont="1" applyFill="1"/>
    <xf numFmtId="0" fontId="28" fillId="0" borderId="0" xfId="0" applyFont="1"/>
    <xf numFmtId="0" fontId="22" fillId="0" borderId="0" xfId="0" applyNumberFormat="1" applyFont="1"/>
    <xf numFmtId="0" fontId="22" fillId="0" borderId="0" xfId="0" applyFont="1"/>
    <xf numFmtId="0" fontId="23" fillId="5" borderId="0" xfId="0" applyFont="1" applyFill="1"/>
    <xf numFmtId="0" fontId="26" fillId="5" borderId="0" xfId="0" applyFont="1" applyFill="1"/>
    <xf numFmtId="0" fontId="28" fillId="5" borderId="0" xfId="0" applyFont="1" applyFill="1"/>
    <xf numFmtId="2" fontId="24" fillId="0" borderId="0" xfId="0" applyNumberFormat="1" applyFont="1"/>
    <xf numFmtId="0" fontId="29" fillId="0" borderId="0" xfId="0" applyNumberFormat="1" applyFont="1"/>
    <xf numFmtId="9" fontId="29" fillId="0" borderId="0" xfId="0" applyNumberFormat="1" applyFont="1"/>
    <xf numFmtId="1" fontId="0" fillId="0" borderId="0" xfId="0" applyNumberFormat="1"/>
    <xf numFmtId="1" fontId="29" fillId="0" borderId="0" xfId="0" applyNumberFormat="1" applyFont="1"/>
    <xf numFmtId="0" fontId="30" fillId="0" borderId="0" xfId="0" applyNumberFormat="1" applyFont="1"/>
    <xf numFmtId="0" fontId="7" fillId="0" borderId="0" xfId="0" applyFont="1" applyFill="1"/>
    <xf numFmtId="0" fontId="15" fillId="0" borderId="0" xfId="0" applyFont="1" applyFill="1"/>
    <xf numFmtId="0" fontId="8" fillId="0" borderId="0" xfId="0" applyFont="1" applyFill="1"/>
    <xf numFmtId="0" fontId="8" fillId="0" borderId="10" xfId="0" applyFont="1" applyFill="1" applyBorder="1"/>
    <xf numFmtId="1" fontId="30" fillId="0" borderId="0" xfId="0" applyNumberFormat="1" applyFont="1"/>
    <xf numFmtId="165" fontId="24" fillId="0" borderId="0" xfId="0" applyNumberFormat="1" applyFont="1"/>
    <xf numFmtId="165" fontId="30" fillId="0" borderId="0" xfId="0" applyNumberFormat="1" applyFont="1"/>
    <xf numFmtId="0" fontId="31" fillId="0" borderId="0" xfId="0" applyFont="1"/>
    <xf numFmtId="165" fontId="8" fillId="0" borderId="0" xfId="0" applyNumberFormat="1" applyFont="1" applyFill="1"/>
    <xf numFmtId="166" fontId="8" fillId="0" borderId="0" xfId="0" applyNumberFormat="1" applyFont="1" applyFill="1"/>
    <xf numFmtId="166" fontId="24" fillId="0" borderId="0" xfId="0" applyNumberFormat="1" applyFont="1"/>
    <xf numFmtId="0" fontId="30" fillId="0" borderId="0" xfId="0" applyFont="1"/>
    <xf numFmtId="0" fontId="29" fillId="0" borderId="0" xfId="0" applyFont="1"/>
    <xf numFmtId="1" fontId="29" fillId="8" borderId="0" xfId="0" applyNumberFormat="1" applyFont="1" applyFill="1"/>
    <xf numFmtId="9" fontId="0" fillId="8" borderId="0" xfId="2" applyFont="1" applyFill="1"/>
    <xf numFmtId="0" fontId="0" fillId="8" borderId="0" xfId="0" applyFill="1"/>
    <xf numFmtId="2" fontId="0" fillId="8" borderId="0" xfId="0" applyNumberFormat="1" applyFill="1"/>
    <xf numFmtId="0" fontId="24" fillId="0" borderId="0" xfId="0" applyNumberFormat="1" applyFont="1" applyFill="1"/>
    <xf numFmtId="0" fontId="32" fillId="0" borderId="0" xfId="0" applyFont="1"/>
    <xf numFmtId="0" fontId="31" fillId="0" borderId="0" xfId="0" applyFont="1" applyFill="1" applyAlignment="1">
      <alignment horizontal="left" vertical="center"/>
    </xf>
    <xf numFmtId="1" fontId="30" fillId="8" borderId="0" xfId="0" applyNumberFormat="1" applyFont="1" applyFill="1"/>
    <xf numFmtId="166" fontId="8" fillId="0" borderId="0" xfId="0" applyNumberFormat="1" applyFont="1"/>
    <xf numFmtId="0" fontId="8" fillId="8" borderId="0" xfId="0" applyFont="1" applyFill="1"/>
    <xf numFmtId="10" fontId="8" fillId="0" borderId="0" xfId="0" applyNumberFormat="1" applyFont="1"/>
    <xf numFmtId="10" fontId="24" fillId="0" borderId="0" xfId="0" applyNumberFormat="1" applyFont="1"/>
    <xf numFmtId="167" fontId="0" fillId="0" borderId="0" xfId="0" applyNumberFormat="1"/>
    <xf numFmtId="0" fontId="29" fillId="0" borderId="0" xfId="0" applyNumberFormat="1" applyFont="1" applyFill="1"/>
    <xf numFmtId="0" fontId="23" fillId="11" borderId="0" xfId="0" applyFont="1" applyFill="1"/>
    <xf numFmtId="167" fontId="29" fillId="0" borderId="0" xfId="0" applyNumberFormat="1" applyFont="1"/>
    <xf numFmtId="9" fontId="8" fillId="0" borderId="0" xfId="2" applyFont="1" applyFill="1"/>
    <xf numFmtId="2" fontId="0" fillId="8" borderId="0" xfId="2" applyNumberFormat="1" applyFont="1" applyFill="1"/>
    <xf numFmtId="2" fontId="29" fillId="0" borderId="0" xfId="0" applyNumberFormat="1" applyFont="1"/>
    <xf numFmtId="1" fontId="0" fillId="8" borderId="0" xfId="0" applyNumberFormat="1" applyFill="1"/>
    <xf numFmtId="9" fontId="8" fillId="0" borderId="0" xfId="0" applyNumberFormat="1" applyFont="1"/>
    <xf numFmtId="0" fontId="33" fillId="0" borderId="0" xfId="3"/>
    <xf numFmtId="168" fontId="8" fillId="0" borderId="0" xfId="0" applyNumberFormat="1" applyFont="1" applyFill="1"/>
    <xf numFmtId="0" fontId="8" fillId="0" borderId="0" xfId="0" applyFont="1" applyAlignment="1"/>
    <xf numFmtId="1" fontId="24" fillId="0" borderId="0" xfId="0" applyNumberFormat="1" applyFont="1"/>
    <xf numFmtId="0" fontId="22" fillId="0" borderId="0" xfId="0" applyFont="1" applyFill="1"/>
    <xf numFmtId="1" fontId="22" fillId="0" borderId="0" xfId="0" applyNumberFormat="1" applyFont="1"/>
    <xf numFmtId="0" fontId="22" fillId="0" borderId="0" xfId="0" applyNumberFormat="1" applyFont="1" applyFill="1"/>
    <xf numFmtId="167" fontId="22" fillId="0" borderId="0" xfId="0" applyNumberFormat="1" applyFont="1"/>
    <xf numFmtId="0" fontId="30" fillId="0" borderId="0" xfId="0" applyFont="1" applyFill="1"/>
    <xf numFmtId="0" fontId="30" fillId="0" borderId="0" xfId="0" applyNumberFormat="1" applyFont="1" applyFill="1"/>
    <xf numFmtId="167" fontId="30" fillId="0" borderId="0" xfId="0" applyNumberFormat="1" applyFont="1"/>
    <xf numFmtId="0" fontId="24" fillId="0" borderId="0" xfId="0" applyFont="1"/>
    <xf numFmtId="168" fontId="0" fillId="0" borderId="0" xfId="0" applyNumberFormat="1"/>
    <xf numFmtId="168" fontId="24" fillId="0" borderId="0" xfId="0" applyNumberFormat="1" applyFont="1" applyFill="1"/>
    <xf numFmtId="0" fontId="24" fillId="0" borderId="0" xfId="0" applyFont="1" applyFill="1"/>
    <xf numFmtId="0" fontId="34" fillId="0" borderId="0" xfId="0" applyFont="1"/>
    <xf numFmtId="0" fontId="35" fillId="0" borderId="0" xfId="0" applyFont="1"/>
    <xf numFmtId="9" fontId="0" fillId="0" borderId="0" xfId="0" applyNumberFormat="1"/>
    <xf numFmtId="0" fontId="0" fillId="0" borderId="0" xfId="0" quotePrefix="1"/>
    <xf numFmtId="1" fontId="0" fillId="0" borderId="0" xfId="0" applyNumberFormat="1" applyFill="1"/>
    <xf numFmtId="167" fontId="0" fillId="0" borderId="0" xfId="0" applyNumberFormat="1" applyFill="1"/>
    <xf numFmtId="0" fontId="0" fillId="12" borderId="0" xfId="0" applyFill="1"/>
    <xf numFmtId="0" fontId="23" fillId="12" borderId="0" xfId="0" applyFont="1" applyFill="1"/>
    <xf numFmtId="1" fontId="29" fillId="0" borderId="0" xfId="0" applyNumberFormat="1" applyFont="1" applyFill="1"/>
    <xf numFmtId="3" fontId="29" fillId="0" borderId="0" xfId="0" applyNumberFormat="1" applyFont="1"/>
    <xf numFmtId="3" fontId="0" fillId="0" borderId="0" xfId="0" applyNumberFormat="1"/>
    <xf numFmtId="3" fontId="30" fillId="0" borderId="0" xfId="0" applyNumberFormat="1" applyFont="1"/>
    <xf numFmtId="3" fontId="24" fillId="0" borderId="0" xfId="0" applyNumberFormat="1" applyFont="1"/>
    <xf numFmtId="2" fontId="29" fillId="0" borderId="0" xfId="0" applyNumberFormat="1" applyFont="1" applyFill="1"/>
    <xf numFmtId="0" fontId="0" fillId="0" borderId="0" xfId="0" quotePrefix="1" applyFill="1"/>
    <xf numFmtId="3" fontId="29" fillId="0" borderId="0" xfId="0" applyNumberFormat="1" applyFont="1" applyFill="1"/>
    <xf numFmtId="3" fontId="24" fillId="0" borderId="0" xfId="0" applyNumberFormat="1" applyFont="1" applyFill="1"/>
    <xf numFmtId="0" fontId="23" fillId="0" borderId="0" xfId="0" applyFont="1" applyFill="1"/>
    <xf numFmtId="9" fontId="8" fillId="0" borderId="0" xfId="0" applyNumberFormat="1" applyFont="1" applyFill="1"/>
    <xf numFmtId="0" fontId="37" fillId="2" borderId="0" xfId="0" applyFont="1" applyFill="1"/>
    <xf numFmtId="0" fontId="38" fillId="2" borderId="0" xfId="1" applyFont="1" applyFill="1"/>
    <xf numFmtId="0" fontId="39" fillId="2" borderId="0" xfId="1" applyFont="1" applyFill="1"/>
    <xf numFmtId="0" fontId="39" fillId="2" borderId="0" xfId="1" applyNumberFormat="1" applyFont="1" applyFill="1"/>
    <xf numFmtId="0" fontId="4" fillId="3" borderId="0" xfId="1" applyFont="1" applyFill="1" applyBorder="1" applyProtection="1">
      <protection locked="0"/>
    </xf>
    <xf numFmtId="9" fontId="24" fillId="0" borderId="0" xfId="2" applyFont="1"/>
    <xf numFmtId="0" fontId="31" fillId="0" borderId="0" xfId="0" applyFont="1" applyAlignment="1"/>
    <xf numFmtId="168" fontId="30" fillId="0" borderId="0" xfId="0" applyNumberFormat="1" applyFont="1" applyFill="1"/>
    <xf numFmtId="0" fontId="4" fillId="0" borderId="0" xfId="1" applyFont="1" applyFill="1"/>
    <xf numFmtId="0" fontId="2" fillId="0" borderId="0" xfId="1" applyFont="1" applyFill="1"/>
    <xf numFmtId="0" fontId="40" fillId="13" borderId="8" xfId="1" applyFont="1" applyFill="1" applyBorder="1" applyAlignment="1" applyProtection="1">
      <alignment horizontal="center"/>
    </xf>
    <xf numFmtId="0" fontId="4" fillId="3" borderId="0" xfId="1" applyFont="1" applyFill="1" applyBorder="1" applyProtection="1"/>
    <xf numFmtId="164" fontId="4" fillId="3" borderId="0" xfId="2" applyNumberFormat="1" applyFont="1" applyFill="1" applyBorder="1" applyProtection="1">
      <protection locked="0"/>
    </xf>
    <xf numFmtId="164" fontId="4" fillId="3" borderId="0" xfId="1" applyNumberFormat="1" applyFont="1" applyFill="1" applyBorder="1" applyProtection="1">
      <protection locked="0"/>
    </xf>
    <xf numFmtId="9" fontId="4" fillId="3" borderId="0" xfId="2" applyFont="1" applyFill="1" applyBorder="1" applyProtection="1">
      <protection locked="0"/>
    </xf>
    <xf numFmtId="9" fontId="4" fillId="3" borderId="0" xfId="1" applyNumberFormat="1" applyFont="1" applyFill="1" applyBorder="1" applyProtection="1">
      <protection locked="0"/>
    </xf>
    <xf numFmtId="9" fontId="4" fillId="3" borderId="0" xfId="2" applyFont="1" applyFill="1" applyBorder="1" applyProtection="1"/>
    <xf numFmtId="1" fontId="4" fillId="3" borderId="0" xfId="1" applyNumberFormat="1" applyFont="1" applyFill="1" applyBorder="1" applyProtection="1">
      <protection locked="0"/>
    </xf>
    <xf numFmtId="1" fontId="4" fillId="3" borderId="0" xfId="2" applyNumberFormat="1" applyFont="1" applyFill="1" applyBorder="1" applyProtection="1">
      <protection locked="0"/>
    </xf>
    <xf numFmtId="164" fontId="4" fillId="3" borderId="0" xfId="2" applyNumberFormat="1" applyFont="1" applyFill="1" applyBorder="1" applyProtection="1"/>
    <xf numFmtId="0" fontId="4" fillId="7" borderId="1" xfId="1" applyFont="1" applyFill="1" applyBorder="1" applyAlignment="1" applyProtection="1">
      <alignment horizontal="center"/>
      <protection locked="0"/>
    </xf>
    <xf numFmtId="0" fontId="4" fillId="4" borderId="1" xfId="1" applyFont="1" applyFill="1" applyBorder="1" applyAlignment="1" applyProtection="1">
      <alignment horizontal="center"/>
    </xf>
    <xf numFmtId="164" fontId="4" fillId="4" borderId="1" xfId="2" applyNumberFormat="1" applyFont="1" applyFill="1" applyBorder="1" applyProtection="1"/>
    <xf numFmtId="1" fontId="4" fillId="4" borderId="1" xfId="1" applyNumberFormat="1" applyFont="1" applyFill="1" applyBorder="1" applyProtection="1"/>
    <xf numFmtId="1" fontId="4" fillId="4" borderId="1" xfId="2" applyNumberFormat="1" applyFont="1" applyFill="1" applyBorder="1" applyProtection="1"/>
    <xf numFmtId="9" fontId="4" fillId="4" borderId="1" xfId="1" applyNumberFormat="1" applyFont="1" applyFill="1" applyBorder="1" applyProtection="1"/>
    <xf numFmtId="0" fontId="4" fillId="7" borderId="1" xfId="1" applyFont="1" applyFill="1" applyBorder="1" applyProtection="1">
      <protection locked="0"/>
    </xf>
    <xf numFmtId="164" fontId="4" fillId="7" borderId="1" xfId="2" applyNumberFormat="1" applyFont="1" applyFill="1" applyBorder="1" applyProtection="1">
      <protection locked="0"/>
    </xf>
    <xf numFmtId="1" fontId="4" fillId="7" borderId="1" xfId="2" applyNumberFormat="1" applyFont="1" applyFill="1" applyBorder="1" applyProtection="1">
      <protection locked="0"/>
    </xf>
    <xf numFmtId="9" fontId="4" fillId="7" borderId="1" xfId="1" applyNumberFormat="1" applyFont="1" applyFill="1" applyBorder="1" applyProtection="1">
      <protection locked="0"/>
    </xf>
    <xf numFmtId="0" fontId="36" fillId="7" borderId="1" xfId="1" applyNumberFormat="1" applyFont="1" applyFill="1" applyBorder="1" applyAlignment="1" applyProtection="1">
      <alignment horizontal="center"/>
      <protection locked="0"/>
    </xf>
    <xf numFmtId="164" fontId="17" fillId="7" borderId="1" xfId="2" applyNumberFormat="1" applyFont="1" applyFill="1" applyBorder="1" applyProtection="1">
      <protection locked="0"/>
    </xf>
    <xf numFmtId="1" fontId="17" fillId="7" borderId="1" xfId="2" applyNumberFormat="1" applyFont="1" applyFill="1" applyBorder="1" applyProtection="1">
      <protection locked="0"/>
    </xf>
    <xf numFmtId="0" fontId="6" fillId="13" borderId="2" xfId="1" applyFont="1" applyFill="1" applyBorder="1" applyProtection="1"/>
    <xf numFmtId="0" fontId="5" fillId="13" borderId="3" xfId="1" applyFont="1" applyFill="1" applyBorder="1" applyProtection="1"/>
    <xf numFmtId="0" fontId="4" fillId="13" borderId="5" xfId="1" applyFont="1" applyFill="1" applyBorder="1" applyProtection="1"/>
    <xf numFmtId="0" fontId="5" fillId="13" borderId="0" xfId="1" applyFont="1" applyFill="1" applyBorder="1" applyProtection="1"/>
    <xf numFmtId="0" fontId="4" fillId="13" borderId="7" xfId="1" applyFont="1" applyFill="1" applyBorder="1" applyProtection="1"/>
    <xf numFmtId="0" fontId="5" fillId="13" borderId="8" xfId="1" applyFont="1" applyFill="1" applyBorder="1" applyProtection="1"/>
    <xf numFmtId="0" fontId="13" fillId="3" borderId="0" xfId="1" applyFont="1" applyFill="1" applyBorder="1" applyProtection="1"/>
    <xf numFmtId="0" fontId="5" fillId="3" borderId="0" xfId="1" applyFont="1" applyFill="1" applyBorder="1" applyProtection="1"/>
    <xf numFmtId="0" fontId="4" fillId="3" borderId="5" xfId="1" applyFont="1" applyFill="1" applyBorder="1" applyProtection="1"/>
    <xf numFmtId="0" fontId="6" fillId="3" borderId="5" xfId="1" applyFont="1" applyFill="1" applyBorder="1" applyProtection="1"/>
    <xf numFmtId="0" fontId="6" fillId="3" borderId="0" xfId="1" applyFont="1" applyFill="1" applyBorder="1" applyProtection="1"/>
    <xf numFmtId="0" fontId="12" fillId="3" borderId="0" xfId="1" applyFont="1" applyFill="1" applyBorder="1" applyProtection="1"/>
    <xf numFmtId="0" fontId="4" fillId="3" borderId="7" xfId="1" applyFont="1" applyFill="1" applyBorder="1" applyProtection="1"/>
    <xf numFmtId="0" fontId="4" fillId="3" borderId="8" xfId="1" applyFont="1" applyFill="1" applyBorder="1" applyProtection="1"/>
    <xf numFmtId="0" fontId="5" fillId="3" borderId="8" xfId="1" applyFont="1" applyFill="1" applyBorder="1" applyProtection="1"/>
    <xf numFmtId="0" fontId="4" fillId="5" borderId="7" xfId="1" applyFont="1" applyFill="1" applyBorder="1" applyProtection="1"/>
    <xf numFmtId="3" fontId="0" fillId="0" borderId="0" xfId="0" applyNumberFormat="1" applyFill="1"/>
    <xf numFmtId="2" fontId="0" fillId="0" borderId="0" xfId="0" applyNumberFormat="1" applyFill="1"/>
    <xf numFmtId="9" fontId="29" fillId="0" borderId="0" xfId="2" applyNumberFormat="1" applyFont="1"/>
    <xf numFmtId="0" fontId="4" fillId="7" borderId="1" xfId="1" applyFont="1" applyFill="1" applyBorder="1" applyAlignment="1" applyProtection="1">
      <alignment horizontal="center" wrapText="1"/>
      <protection locked="0"/>
    </xf>
    <xf numFmtId="3" fontId="30" fillId="8" borderId="0" xfId="0" applyNumberFormat="1" applyFont="1" applyFill="1"/>
    <xf numFmtId="169" fontId="24" fillId="0" borderId="0" xfId="0" applyNumberFormat="1" applyFont="1"/>
    <xf numFmtId="4" fontId="22" fillId="0" borderId="0" xfId="0" applyNumberFormat="1" applyFont="1"/>
    <xf numFmtId="4" fontId="30" fillId="0" borderId="0" xfId="0" applyNumberFormat="1" applyFont="1"/>
    <xf numFmtId="169" fontId="22" fillId="0" borderId="0" xfId="0" applyNumberFormat="1" applyFont="1"/>
    <xf numFmtId="169" fontId="30" fillId="0" borderId="0" xfId="0" applyNumberFormat="1" applyFont="1"/>
    <xf numFmtId="3" fontId="22" fillId="0" borderId="0" xfId="0" applyNumberFormat="1" applyFont="1"/>
    <xf numFmtId="169" fontId="24" fillId="0" borderId="0" xfId="0" applyNumberFormat="1" applyFont="1" applyFill="1"/>
    <xf numFmtId="170" fontId="24" fillId="0" borderId="0" xfId="0" applyNumberFormat="1" applyFont="1"/>
    <xf numFmtId="9" fontId="29" fillId="0" borderId="0" xfId="2" applyFont="1"/>
    <xf numFmtId="2" fontId="0" fillId="0" borderId="0" xfId="0" applyNumberFormat="1"/>
    <xf numFmtId="1" fontId="0" fillId="6" borderId="0" xfId="0" applyNumberFormat="1" applyFill="1"/>
    <xf numFmtId="0" fontId="0" fillId="13" borderId="0" xfId="0" applyFill="1"/>
    <xf numFmtId="3" fontId="29" fillId="13" borderId="0" xfId="0" applyNumberFormat="1" applyFont="1" applyFill="1"/>
    <xf numFmtId="3" fontId="29" fillId="3" borderId="0" xfId="0" applyNumberFormat="1" applyFont="1" applyFill="1"/>
    <xf numFmtId="3" fontId="0" fillId="3" borderId="0" xfId="0" applyNumberFormat="1" applyFill="1"/>
    <xf numFmtId="3" fontId="0" fillId="13" borderId="0" xfId="0" applyNumberFormat="1" applyFill="1"/>
    <xf numFmtId="3" fontId="29" fillId="14" borderId="0" xfId="0" applyNumberFormat="1" applyFont="1" applyFill="1"/>
    <xf numFmtId="3" fontId="29" fillId="15" borderId="0" xfId="0" applyNumberFormat="1" applyFont="1" applyFill="1"/>
    <xf numFmtId="3" fontId="0" fillId="15" borderId="0" xfId="0" applyNumberFormat="1" applyFill="1"/>
    <xf numFmtId="3" fontId="29" fillId="16" borderId="0" xfId="0" applyNumberFormat="1" applyFont="1" applyFill="1"/>
    <xf numFmtId="3" fontId="29" fillId="7" borderId="0" xfId="0" applyNumberFormat="1" applyFont="1" applyFill="1"/>
    <xf numFmtId="3" fontId="29" fillId="17" borderId="0" xfId="0" applyNumberFormat="1" applyFont="1" applyFill="1"/>
    <xf numFmtId="3" fontId="29" fillId="4" borderId="0" xfId="0" applyNumberFormat="1" applyFont="1" applyFill="1"/>
    <xf numFmtId="0" fontId="0" fillId="0" borderId="0" xfId="0" applyAlignment="1">
      <alignment horizontal="right"/>
    </xf>
    <xf numFmtId="9" fontId="8" fillId="0" borderId="0" xfId="2" applyNumberFormat="1" applyFont="1"/>
    <xf numFmtId="0" fontId="4" fillId="2" borderId="0" xfId="1" applyFont="1" applyFill="1" applyProtection="1">
      <protection locked="0"/>
    </xf>
    <xf numFmtId="0" fontId="14" fillId="2" borderId="0" xfId="1" applyFont="1" applyFill="1" applyProtection="1">
      <protection locked="0"/>
    </xf>
    <xf numFmtId="0" fontId="5" fillId="2" borderId="0" xfId="1" applyFont="1" applyFill="1" applyProtection="1">
      <protection locked="0"/>
    </xf>
    <xf numFmtId="0" fontId="6" fillId="2" borderId="0" xfId="1" applyFont="1" applyFill="1" applyAlignment="1" applyProtection="1">
      <alignment horizontal="center" vertical="center" wrapText="1"/>
      <protection locked="0"/>
    </xf>
    <xf numFmtId="0" fontId="6" fillId="2" borderId="0" xfId="1" applyFont="1" applyFill="1" applyProtection="1">
      <protection locked="0"/>
    </xf>
    <xf numFmtId="0" fontId="4" fillId="2" borderId="0" xfId="1" applyFont="1" applyFill="1" applyBorder="1" applyProtection="1">
      <protection locked="0"/>
    </xf>
    <xf numFmtId="0" fontId="4" fillId="13" borderId="3" xfId="1" applyFont="1" applyFill="1" applyBorder="1" applyProtection="1">
      <protection locked="0"/>
    </xf>
    <xf numFmtId="0" fontId="6" fillId="13" borderId="4" xfId="1" applyFont="1" applyFill="1" applyBorder="1" applyAlignment="1" applyProtection="1">
      <alignment horizontal="center" vertical="center" wrapText="1"/>
      <protection locked="0"/>
    </xf>
    <xf numFmtId="0" fontId="4" fillId="0" borderId="0" xfId="1" applyFont="1" applyFill="1" applyProtection="1">
      <protection locked="0"/>
    </xf>
    <xf numFmtId="0" fontId="4" fillId="13" borderId="6" xfId="1" applyFont="1" applyFill="1" applyBorder="1" applyProtection="1">
      <protection locked="0"/>
    </xf>
    <xf numFmtId="0" fontId="6" fillId="13" borderId="6" xfId="1" applyFont="1" applyFill="1" applyBorder="1" applyAlignment="1" applyProtection="1">
      <alignment horizontal="center" vertical="center" wrapText="1"/>
      <protection locked="0"/>
    </xf>
    <xf numFmtId="0" fontId="6" fillId="13" borderId="9" xfId="1" applyFont="1" applyFill="1" applyBorder="1" applyAlignment="1" applyProtection="1">
      <alignment horizontal="center" vertical="center" wrapText="1"/>
      <protection locked="0"/>
    </xf>
    <xf numFmtId="0" fontId="6" fillId="2" borderId="0" xfId="1" applyFont="1" applyFill="1" applyAlignment="1" applyProtection="1">
      <alignment horizontal="center"/>
      <protection locked="0"/>
    </xf>
    <xf numFmtId="0" fontId="14" fillId="2" borderId="0" xfId="1" applyFont="1" applyFill="1" applyBorder="1" applyProtection="1">
      <protection locked="0"/>
    </xf>
    <xf numFmtId="0" fontId="4" fillId="3" borderId="2" xfId="1" applyFont="1" applyFill="1" applyBorder="1" applyProtection="1">
      <protection locked="0"/>
    </xf>
    <xf numFmtId="0" fontId="4" fillId="3" borderId="3" xfId="1" applyFont="1" applyFill="1" applyBorder="1" applyProtection="1">
      <protection locked="0"/>
    </xf>
    <xf numFmtId="0" fontId="5" fillId="3" borderId="3" xfId="1" applyFont="1" applyFill="1" applyBorder="1" applyProtection="1">
      <protection locked="0"/>
    </xf>
    <xf numFmtId="0" fontId="4" fillId="3" borderId="4" xfId="1" applyFont="1" applyFill="1" applyBorder="1" applyProtection="1">
      <protection locked="0"/>
    </xf>
    <xf numFmtId="0" fontId="41" fillId="3" borderId="5" xfId="1" applyFont="1" applyFill="1" applyBorder="1" applyProtection="1">
      <protection locked="0"/>
    </xf>
    <xf numFmtId="0" fontId="13" fillId="3" borderId="0" xfId="1" applyFont="1" applyFill="1" applyBorder="1" applyProtection="1">
      <protection locked="0"/>
    </xf>
    <xf numFmtId="0" fontId="5" fillId="3" borderId="0" xfId="1" applyFont="1" applyFill="1" applyBorder="1" applyProtection="1">
      <protection locked="0"/>
    </xf>
    <xf numFmtId="0" fontId="4" fillId="3" borderId="6" xfId="1" applyFont="1" applyFill="1" applyBorder="1" applyProtection="1">
      <protection locked="0"/>
    </xf>
    <xf numFmtId="0" fontId="4" fillId="3" borderId="5" xfId="1" applyFont="1" applyFill="1" applyBorder="1" applyProtection="1">
      <protection locked="0"/>
    </xf>
    <xf numFmtId="0" fontId="4" fillId="3" borderId="6" xfId="1" quotePrefix="1" applyFont="1" applyFill="1" applyBorder="1" applyProtection="1">
      <protection locked="0"/>
    </xf>
    <xf numFmtId="0" fontId="4" fillId="2" borderId="0" xfId="1" quotePrefix="1" applyFont="1" applyFill="1" applyBorder="1" applyProtection="1">
      <protection locked="0"/>
    </xf>
    <xf numFmtId="0" fontId="12" fillId="3" borderId="0" xfId="1" applyNumberFormat="1" applyFont="1" applyFill="1" applyBorder="1" applyProtection="1">
      <protection locked="0"/>
    </xf>
    <xf numFmtId="0" fontId="18" fillId="3" borderId="0" xfId="1" applyFont="1" applyFill="1" applyBorder="1" applyProtection="1">
      <protection locked="0"/>
    </xf>
    <xf numFmtId="0" fontId="4" fillId="3" borderId="8" xfId="1" applyFont="1" applyFill="1" applyBorder="1" applyProtection="1">
      <protection locked="0"/>
    </xf>
    <xf numFmtId="0" fontId="4" fillId="3" borderId="9" xfId="1" applyFont="1" applyFill="1" applyBorder="1" applyProtection="1">
      <protection locked="0"/>
    </xf>
    <xf numFmtId="0" fontId="4" fillId="5" borderId="2" xfId="1" applyFont="1" applyFill="1" applyBorder="1" applyProtection="1">
      <protection locked="0"/>
    </xf>
    <xf numFmtId="0" fontId="4" fillId="5" borderId="3" xfId="1" applyFont="1" applyFill="1" applyBorder="1" applyProtection="1">
      <protection locked="0"/>
    </xf>
    <xf numFmtId="0" fontId="4" fillId="5" borderId="4" xfId="1" applyFont="1" applyFill="1" applyBorder="1" applyProtection="1">
      <protection locked="0"/>
    </xf>
    <xf numFmtId="0" fontId="4" fillId="5" borderId="5" xfId="1" applyFont="1" applyFill="1" applyBorder="1" applyProtection="1">
      <protection locked="0"/>
    </xf>
    <xf numFmtId="0" fontId="4" fillId="5" borderId="0" xfId="1" applyFont="1" applyFill="1" applyBorder="1" applyProtection="1">
      <protection locked="0"/>
    </xf>
    <xf numFmtId="0" fontId="4" fillId="5" borderId="6" xfId="1" applyFont="1" applyFill="1" applyBorder="1" applyProtection="1">
      <protection locked="0"/>
    </xf>
    <xf numFmtId="0" fontId="4" fillId="5" borderId="8" xfId="1" applyFont="1" applyFill="1" applyBorder="1" applyProtection="1">
      <protection locked="0"/>
    </xf>
    <xf numFmtId="0" fontId="4" fillId="5" borderId="9" xfId="1" applyFont="1" applyFill="1" applyBorder="1" applyProtection="1">
      <protection locked="0"/>
    </xf>
    <xf numFmtId="0" fontId="5" fillId="0" borderId="0" xfId="1" applyFont="1" applyFill="1" applyProtection="1">
      <protection locked="0"/>
    </xf>
    <xf numFmtId="0" fontId="42" fillId="2" borderId="0" xfId="0" applyFont="1" applyFill="1" applyBorder="1"/>
    <xf numFmtId="0" fontId="43" fillId="2" borderId="0" xfId="0" applyFont="1" applyFill="1" applyBorder="1"/>
    <xf numFmtId="0" fontId="37" fillId="2" borderId="0" xfId="0" applyFont="1" applyFill="1" applyBorder="1"/>
    <xf numFmtId="0" fontId="44" fillId="2" borderId="0" xfId="0" applyFont="1" applyFill="1" applyBorder="1"/>
    <xf numFmtId="164" fontId="43" fillId="2" borderId="0" xfId="2" applyNumberFormat="1" applyFont="1" applyFill="1" applyBorder="1"/>
    <xf numFmtId="10" fontId="37" fillId="2" borderId="0" xfId="0" applyNumberFormat="1" applyFont="1" applyFill="1" applyBorder="1"/>
    <xf numFmtId="10" fontId="43" fillId="2" borderId="0" xfId="2" applyNumberFormat="1" applyFont="1" applyFill="1" applyBorder="1"/>
    <xf numFmtId="1" fontId="43" fillId="2" borderId="0" xfId="0" applyNumberFormat="1" applyFont="1" applyFill="1" applyBorder="1"/>
    <xf numFmtId="9" fontId="43" fillId="2" borderId="0" xfId="2" applyFont="1" applyFill="1" applyBorder="1"/>
    <xf numFmtId="167" fontId="43" fillId="2" borderId="0" xfId="0" applyNumberFormat="1" applyFont="1" applyFill="1" applyBorder="1"/>
    <xf numFmtId="0" fontId="39" fillId="2" borderId="0" xfId="1" applyFont="1" applyFill="1" applyBorder="1"/>
    <xf numFmtId="0" fontId="2" fillId="3" borderId="0" xfId="1" applyFont="1" applyFill="1"/>
    <xf numFmtId="0" fontId="45" fillId="5" borderId="0" xfId="1" applyFont="1" applyFill="1" applyBorder="1" applyProtection="1">
      <protection locked="0"/>
    </xf>
    <xf numFmtId="0" fontId="18" fillId="5" borderId="0" xfId="1" applyFont="1" applyFill="1" applyBorder="1" applyProtection="1">
      <protection locked="0"/>
    </xf>
    <xf numFmtId="0" fontId="18" fillId="5" borderId="0" xfId="1" applyFont="1" applyFill="1" applyBorder="1" applyAlignment="1" applyProtection="1">
      <alignment horizontal="left"/>
      <protection locked="0"/>
    </xf>
    <xf numFmtId="0" fontId="19" fillId="5" borderId="0" xfId="1" applyFont="1" applyFill="1" applyBorder="1" applyProtection="1">
      <protection locked="0"/>
    </xf>
    <xf numFmtId="0" fontId="5" fillId="5" borderId="0" xfId="1" applyFont="1" applyFill="1" applyBorder="1" applyProtection="1">
      <protection locked="0"/>
    </xf>
    <xf numFmtId="0" fontId="4" fillId="5" borderId="7" xfId="1" applyFont="1" applyFill="1" applyBorder="1" applyProtection="1">
      <protection locked="0"/>
    </xf>
    <xf numFmtId="0" fontId="5" fillId="5" borderId="8" xfId="1" applyFont="1" applyFill="1" applyBorder="1" applyProtection="1">
      <protection locked="0"/>
    </xf>
    <xf numFmtId="0" fontId="5" fillId="5" borderId="3" xfId="1" applyFont="1" applyFill="1" applyBorder="1" applyProtection="1">
      <protection locked="0"/>
    </xf>
    <xf numFmtId="0" fontId="6" fillId="5" borderId="0" xfId="1" applyFont="1" applyFill="1" applyBorder="1" applyProtection="1">
      <protection locked="0"/>
    </xf>
    <xf numFmtId="3" fontId="4" fillId="5" borderId="0" xfId="1" applyNumberFormat="1" applyFont="1" applyFill="1" applyBorder="1" applyProtection="1">
      <protection locked="0"/>
    </xf>
    <xf numFmtId="3" fontId="4" fillId="5" borderId="0" xfId="1" applyNumberFormat="1" applyFont="1" applyFill="1" applyBorder="1" applyAlignment="1" applyProtection="1">
      <alignment horizontal="left"/>
      <protection locked="0"/>
    </xf>
    <xf numFmtId="0" fontId="6" fillId="5" borderId="5" xfId="1" applyFont="1" applyFill="1" applyBorder="1" applyProtection="1">
      <protection locked="0"/>
    </xf>
    <xf numFmtId="0" fontId="46" fillId="5" borderId="0" xfId="1" applyFont="1" applyFill="1" applyBorder="1" applyProtection="1">
      <protection locked="0"/>
    </xf>
    <xf numFmtId="0" fontId="6" fillId="5" borderId="6" xfId="1" applyFont="1" applyFill="1" applyBorder="1" applyProtection="1">
      <protection locked="0"/>
    </xf>
    <xf numFmtId="3" fontId="40" fillId="5" borderId="0" xfId="1" applyNumberFormat="1" applyFont="1" applyFill="1" applyBorder="1" applyProtection="1">
      <protection locked="0"/>
    </xf>
    <xf numFmtId="0" fontId="47" fillId="5" borderId="0" xfId="1" applyFont="1" applyFill="1" applyBorder="1" applyProtection="1">
      <protection locked="0"/>
    </xf>
    <xf numFmtId="0" fontId="48" fillId="5" borderId="0" xfId="1" applyFont="1" applyFill="1" applyBorder="1" applyProtection="1">
      <protection locked="0"/>
    </xf>
    <xf numFmtId="0" fontId="49" fillId="5" borderId="0" xfId="1" applyFont="1" applyFill="1" applyBorder="1" applyProtection="1">
      <protection locked="0"/>
    </xf>
    <xf numFmtId="0" fontId="4" fillId="5" borderId="0" xfId="1" applyFont="1" applyFill="1" applyBorder="1" applyAlignment="1" applyProtection="1">
      <protection locked="0"/>
    </xf>
  </cellXfs>
  <cellStyles count="4">
    <cellStyle name="Hyperlink" xfId="3" builtinId="8"/>
    <cellStyle name="Normal" xfId="0" builtinId="0"/>
    <cellStyle name="Normal 2" xfId="1" xr:uid="{00000000-0005-0000-0000-000001000000}"/>
    <cellStyle name="Percent" xfId="2" builtinId="5"/>
  </cellStyles>
  <dxfs count="10">
    <dxf>
      <fill>
        <patternFill>
          <bgColor rgb="FFFF0000"/>
        </patternFill>
      </fill>
    </dxf>
    <dxf>
      <font>
        <color theme="5" tint="0.79998168889431442"/>
      </font>
      <fill>
        <patternFill>
          <bgColor theme="5" tint="0.79998168889431442"/>
        </patternFill>
      </fill>
      <border>
        <left/>
        <right/>
        <top/>
        <bottom/>
        <vertical/>
        <horizontal/>
      </border>
    </dxf>
    <dxf>
      <font>
        <color theme="5" tint="0.79998168889431442"/>
      </font>
      <fill>
        <patternFill>
          <bgColor theme="5" tint="0.79998168889431442"/>
        </patternFill>
      </fill>
      <border>
        <left/>
        <right/>
        <top/>
        <bottom/>
        <vertical/>
        <horizontal/>
      </border>
    </dxf>
    <dxf>
      <font>
        <color theme="5" tint="0.79998168889431442"/>
      </font>
      <fill>
        <patternFill>
          <bgColor theme="5" tint="0.79998168889431442"/>
        </patternFill>
      </fill>
      <border>
        <left/>
        <right/>
        <top/>
        <bottom/>
        <vertical/>
        <horizontal/>
      </border>
    </dxf>
    <dxf>
      <font>
        <color theme="5" tint="0.79998168889431442"/>
      </font>
      <fill>
        <patternFill>
          <bgColor theme="5" tint="0.79998168889431442"/>
        </patternFill>
      </fill>
      <border>
        <left/>
        <right/>
        <top/>
        <bottom/>
        <vertical/>
        <horizontal/>
      </border>
    </dxf>
    <dxf>
      <font>
        <color theme="5" tint="0.59996337778862885"/>
      </font>
    </dxf>
    <dxf>
      <font>
        <color theme="5" tint="0.79998168889431442"/>
      </font>
      <fill>
        <patternFill>
          <bgColor theme="5" tint="0.79998168889431442"/>
        </patternFill>
      </fill>
      <border>
        <left/>
        <right/>
        <top/>
        <bottom/>
        <vertical/>
        <horizontal/>
      </border>
    </dxf>
    <dxf>
      <fill>
        <patternFill>
          <bgColor rgb="FFFF0000"/>
        </patternFill>
      </fill>
    </dxf>
    <dxf>
      <font>
        <color theme="5" tint="0.79998168889431442"/>
      </font>
      <fill>
        <patternFill>
          <bgColor theme="5" tint="0.79998168889431442"/>
        </patternFill>
      </fill>
      <border>
        <left/>
        <right/>
        <top/>
        <bottom/>
        <vertical/>
        <horizontal/>
      </border>
    </dxf>
    <dxf>
      <font>
        <color theme="5" tint="0.79998168889431442"/>
      </font>
      <fill>
        <patternFill>
          <bgColor theme="5" tint="0.79998168889431442"/>
        </patternFill>
      </fill>
      <border>
        <left/>
        <right/>
        <top/>
        <bottom/>
        <vertical/>
        <horizontal/>
      </border>
    </dxf>
  </dxfs>
  <tableStyles count="0" defaultTableStyle="TableStyleMedium2" defaultPivotStyle="PivotStyleLight16"/>
  <colors>
    <mruColors>
      <color rgb="FFBFBFBF"/>
      <color rgb="FF929292"/>
      <color rgb="FFFFD184"/>
      <color rgb="FFE2AA00"/>
      <color rgb="FF97B9E0"/>
      <color rgb="FF5089BC"/>
      <color rgb="FFF1A78A"/>
      <color rgb="FFD26E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Materiaalgebruik</a:t>
            </a:r>
            <a:r>
              <a:rPr lang="en-US" b="1" baseline="0"/>
              <a:t> (kg)</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Pt>
            <c:idx val="0"/>
            <c:invertIfNegative val="0"/>
            <c:bubble3D val="0"/>
            <c:spPr>
              <a:solidFill>
                <a:srgbClr val="D26E2A"/>
              </a:solidFill>
              <a:ln>
                <a:noFill/>
              </a:ln>
              <a:effectLst/>
            </c:spPr>
            <c:extLst>
              <c:ext xmlns:c16="http://schemas.microsoft.com/office/drawing/2014/chart" uri="{C3380CC4-5D6E-409C-BE32-E72D297353CC}">
                <c16:uniqueId val="{00000001-832A-4A97-B1AE-A769E2523FD5}"/>
              </c:ext>
            </c:extLst>
          </c:dPt>
          <c:dPt>
            <c:idx val="1"/>
            <c:invertIfNegative val="0"/>
            <c:bubble3D val="0"/>
            <c:spPr>
              <a:solidFill>
                <a:srgbClr val="F1A78A"/>
              </a:solidFill>
              <a:ln>
                <a:noFill/>
              </a:ln>
              <a:effectLst/>
            </c:spPr>
            <c:extLst>
              <c:ext xmlns:c16="http://schemas.microsoft.com/office/drawing/2014/chart" uri="{C3380CC4-5D6E-409C-BE32-E72D297353CC}">
                <c16:uniqueId val="{00000000-832A-4A97-B1AE-A769E2523FD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Resultaten!$F$8:$G$8</c:f>
              <c:strCache>
                <c:ptCount val="2"/>
                <c:pt idx="0">
                  <c:v>Huidig</c:v>
                </c:pt>
                <c:pt idx="1">
                  <c:v>Toekomstig</c:v>
                </c:pt>
              </c:strCache>
            </c:strRef>
          </c:cat>
          <c:val>
            <c:numRef>
              <c:f>Resultaten!$F$20:$G$20</c:f>
              <c:numCache>
                <c:formatCode>#,##0</c:formatCode>
                <c:ptCount val="2"/>
                <c:pt idx="0">
                  <c:v>1170000</c:v>
                </c:pt>
                <c:pt idx="1">
                  <c:v>1170000</c:v>
                </c:pt>
              </c:numCache>
            </c:numRef>
          </c:val>
          <c:extLst>
            <c:ext xmlns:c16="http://schemas.microsoft.com/office/drawing/2014/chart" uri="{C3380CC4-5D6E-409C-BE32-E72D297353CC}">
              <c16:uniqueId val="{00000000-5F13-4480-A1F7-E354CAA513C6}"/>
            </c:ext>
          </c:extLst>
        </c:ser>
        <c:dLbls>
          <c:dLblPos val="outEnd"/>
          <c:showLegendKey val="0"/>
          <c:showVal val="1"/>
          <c:showCatName val="0"/>
          <c:showSerName val="0"/>
          <c:showPercent val="0"/>
          <c:showBubbleSize val="0"/>
        </c:dLbls>
        <c:gapWidth val="219"/>
        <c:overlap val="-27"/>
        <c:axId val="710137872"/>
        <c:axId val="2049979760"/>
      </c:barChart>
      <c:catAx>
        <c:axId val="7101378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9979760"/>
        <c:crossesAt val="0"/>
        <c:auto val="1"/>
        <c:lblAlgn val="ctr"/>
        <c:lblOffset val="100"/>
        <c:noMultiLvlLbl val="0"/>
      </c:catAx>
      <c:valAx>
        <c:axId val="204997976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01378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Energiegebruik (MJ-eq)</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5089BC"/>
              </a:solidFill>
              <a:ln>
                <a:noFill/>
              </a:ln>
              <a:effectLst/>
            </c:spPr>
            <c:extLst>
              <c:ext xmlns:c16="http://schemas.microsoft.com/office/drawing/2014/chart" uri="{C3380CC4-5D6E-409C-BE32-E72D297353CC}">
                <c16:uniqueId val="{00000000-12C7-4491-90F2-AB32B8AA0B47}"/>
              </c:ext>
            </c:extLst>
          </c:dPt>
          <c:dPt>
            <c:idx val="1"/>
            <c:invertIfNegative val="0"/>
            <c:bubble3D val="0"/>
            <c:spPr>
              <a:solidFill>
                <a:srgbClr val="97B9E0"/>
              </a:solidFill>
              <a:ln>
                <a:noFill/>
              </a:ln>
              <a:effectLst/>
            </c:spPr>
            <c:extLst>
              <c:ext xmlns:c16="http://schemas.microsoft.com/office/drawing/2014/chart" uri="{C3380CC4-5D6E-409C-BE32-E72D297353CC}">
                <c16:uniqueId val="{00000001-12C7-4491-90F2-AB32B8AA0B4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Resultaten!$J$8:$K$8</c:f>
              <c:strCache>
                <c:ptCount val="2"/>
                <c:pt idx="0">
                  <c:v>Huidig</c:v>
                </c:pt>
                <c:pt idx="1">
                  <c:v>Toekomstig</c:v>
                </c:pt>
              </c:strCache>
            </c:strRef>
          </c:cat>
          <c:val>
            <c:numRef>
              <c:f>Resultaten!$J$20:$K$20</c:f>
              <c:numCache>
                <c:formatCode>#,##0</c:formatCode>
                <c:ptCount val="2"/>
                <c:pt idx="0">
                  <c:v>20160000</c:v>
                </c:pt>
                <c:pt idx="1">
                  <c:v>20160000</c:v>
                </c:pt>
              </c:numCache>
            </c:numRef>
          </c:val>
          <c:extLst>
            <c:ext xmlns:c16="http://schemas.microsoft.com/office/drawing/2014/chart" uri="{C3380CC4-5D6E-409C-BE32-E72D297353CC}">
              <c16:uniqueId val="{00000000-18D1-40E3-A4B1-439E8B65FC7D}"/>
            </c:ext>
          </c:extLst>
        </c:ser>
        <c:dLbls>
          <c:showLegendKey val="0"/>
          <c:showVal val="0"/>
          <c:showCatName val="0"/>
          <c:showSerName val="0"/>
          <c:showPercent val="0"/>
          <c:showBubbleSize val="0"/>
        </c:dLbls>
        <c:gapWidth val="219"/>
        <c:overlap val="-27"/>
        <c:axId val="710137872"/>
        <c:axId val="2049979760"/>
      </c:barChart>
      <c:catAx>
        <c:axId val="7101378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9979760"/>
        <c:crosses val="autoZero"/>
        <c:auto val="1"/>
        <c:lblAlgn val="ctr"/>
        <c:lblOffset val="100"/>
        <c:noMultiLvlLbl val="0"/>
      </c:catAx>
      <c:valAx>
        <c:axId val="204997976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01378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Watergebruik (m3)</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4"/>
            </a:solidFill>
            <a:ln>
              <a:noFill/>
            </a:ln>
            <a:effectLst/>
          </c:spPr>
          <c:invertIfNegative val="0"/>
          <c:dPt>
            <c:idx val="0"/>
            <c:invertIfNegative val="0"/>
            <c:bubble3D val="0"/>
            <c:spPr>
              <a:solidFill>
                <a:srgbClr val="E2AA00"/>
              </a:solidFill>
              <a:ln>
                <a:noFill/>
              </a:ln>
              <a:effectLst/>
            </c:spPr>
            <c:extLst>
              <c:ext xmlns:c16="http://schemas.microsoft.com/office/drawing/2014/chart" uri="{C3380CC4-5D6E-409C-BE32-E72D297353CC}">
                <c16:uniqueId val="{00000000-E630-44B4-BC89-03E4300571AF}"/>
              </c:ext>
            </c:extLst>
          </c:dPt>
          <c:dPt>
            <c:idx val="1"/>
            <c:invertIfNegative val="0"/>
            <c:bubble3D val="0"/>
            <c:spPr>
              <a:solidFill>
                <a:srgbClr val="FFD184"/>
              </a:solidFill>
              <a:ln>
                <a:noFill/>
              </a:ln>
              <a:effectLst/>
            </c:spPr>
            <c:extLst>
              <c:ext xmlns:c16="http://schemas.microsoft.com/office/drawing/2014/chart" uri="{C3380CC4-5D6E-409C-BE32-E72D297353CC}">
                <c16:uniqueId val="{00000001-E630-44B4-BC89-03E4300571A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Resultaten!$N$8:$O$8</c:f>
              <c:strCache>
                <c:ptCount val="2"/>
                <c:pt idx="0">
                  <c:v>Huidig</c:v>
                </c:pt>
                <c:pt idx="1">
                  <c:v>Toekomst</c:v>
                </c:pt>
              </c:strCache>
            </c:strRef>
          </c:cat>
          <c:val>
            <c:numRef>
              <c:f>Resultaten!$N$20:$O$20</c:f>
              <c:numCache>
                <c:formatCode>#,##0</c:formatCode>
                <c:ptCount val="2"/>
                <c:pt idx="0">
                  <c:v>22510</c:v>
                </c:pt>
                <c:pt idx="1">
                  <c:v>22510</c:v>
                </c:pt>
              </c:numCache>
            </c:numRef>
          </c:val>
          <c:extLst>
            <c:ext xmlns:c16="http://schemas.microsoft.com/office/drawing/2014/chart" uri="{C3380CC4-5D6E-409C-BE32-E72D297353CC}">
              <c16:uniqueId val="{00000000-6E49-45E6-91A9-35CB140D94D6}"/>
            </c:ext>
          </c:extLst>
        </c:ser>
        <c:dLbls>
          <c:dLblPos val="outEnd"/>
          <c:showLegendKey val="0"/>
          <c:showVal val="1"/>
          <c:showCatName val="0"/>
          <c:showSerName val="0"/>
          <c:showPercent val="0"/>
          <c:showBubbleSize val="0"/>
        </c:dLbls>
        <c:gapWidth val="219"/>
        <c:overlap val="-27"/>
        <c:axId val="710137872"/>
        <c:axId val="2049979760"/>
      </c:barChart>
      <c:catAx>
        <c:axId val="7101378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9979760"/>
        <c:crosses val="autoZero"/>
        <c:auto val="1"/>
        <c:lblAlgn val="ctr"/>
        <c:lblOffset val="100"/>
        <c:noMultiLvlLbl val="0"/>
      </c:catAx>
      <c:valAx>
        <c:axId val="204997976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01378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Emissies (kg CO2-eq)</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3"/>
            </a:solidFill>
            <a:ln>
              <a:noFill/>
            </a:ln>
            <a:effectLst/>
          </c:spPr>
          <c:invertIfNegative val="0"/>
          <c:dPt>
            <c:idx val="0"/>
            <c:invertIfNegative val="0"/>
            <c:bubble3D val="0"/>
            <c:spPr>
              <a:solidFill>
                <a:srgbClr val="929292"/>
              </a:solidFill>
              <a:ln>
                <a:noFill/>
              </a:ln>
              <a:effectLst/>
            </c:spPr>
            <c:extLst>
              <c:ext xmlns:c16="http://schemas.microsoft.com/office/drawing/2014/chart" uri="{C3380CC4-5D6E-409C-BE32-E72D297353CC}">
                <c16:uniqueId val="{00000000-8FC1-41D6-ADC7-DF3626D73D05}"/>
              </c:ext>
            </c:extLst>
          </c:dPt>
          <c:dPt>
            <c:idx val="1"/>
            <c:invertIfNegative val="0"/>
            <c:bubble3D val="0"/>
            <c:spPr>
              <a:solidFill>
                <a:srgbClr val="BFBFBF"/>
              </a:solidFill>
              <a:ln>
                <a:noFill/>
              </a:ln>
              <a:effectLst/>
            </c:spPr>
            <c:extLst>
              <c:ext xmlns:c16="http://schemas.microsoft.com/office/drawing/2014/chart" uri="{C3380CC4-5D6E-409C-BE32-E72D297353CC}">
                <c16:uniqueId val="{00000001-8FC1-41D6-ADC7-DF3626D73D0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Resultaten!$R$8:$S$8</c:f>
              <c:strCache>
                <c:ptCount val="2"/>
                <c:pt idx="0">
                  <c:v>Huidig</c:v>
                </c:pt>
                <c:pt idx="1">
                  <c:v>Toekomst</c:v>
                </c:pt>
              </c:strCache>
            </c:strRef>
          </c:cat>
          <c:val>
            <c:numRef>
              <c:f>Resultaten!$R$20:$S$20</c:f>
              <c:numCache>
                <c:formatCode>#,##0</c:formatCode>
                <c:ptCount val="2"/>
                <c:pt idx="0">
                  <c:v>1341000</c:v>
                </c:pt>
                <c:pt idx="1">
                  <c:v>1341000</c:v>
                </c:pt>
              </c:numCache>
            </c:numRef>
          </c:val>
          <c:extLst>
            <c:ext xmlns:c16="http://schemas.microsoft.com/office/drawing/2014/chart" uri="{C3380CC4-5D6E-409C-BE32-E72D297353CC}">
              <c16:uniqueId val="{00000000-68A7-423D-BD5C-762279BDAB3D}"/>
            </c:ext>
          </c:extLst>
        </c:ser>
        <c:dLbls>
          <c:dLblPos val="outEnd"/>
          <c:showLegendKey val="0"/>
          <c:showVal val="1"/>
          <c:showCatName val="0"/>
          <c:showSerName val="0"/>
          <c:showPercent val="0"/>
          <c:showBubbleSize val="0"/>
        </c:dLbls>
        <c:gapWidth val="219"/>
        <c:overlap val="-27"/>
        <c:axId val="710137872"/>
        <c:axId val="2049979760"/>
      </c:barChart>
      <c:catAx>
        <c:axId val="7101378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9979760"/>
        <c:crosses val="autoZero"/>
        <c:auto val="1"/>
        <c:lblAlgn val="ctr"/>
        <c:lblOffset val="100"/>
        <c:noMultiLvlLbl val="0"/>
      </c:catAx>
      <c:valAx>
        <c:axId val="204997976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01378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Energiegebruik (MJ-eq)</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Resultaten!$J$8</c:f>
              <c:strCache>
                <c:ptCount val="1"/>
                <c:pt idx="0">
                  <c:v>Huidig</c:v>
                </c:pt>
              </c:strCache>
            </c:strRef>
          </c:tx>
          <c:spPr>
            <a:solidFill>
              <a:schemeClr val="accent5">
                <a:shade val="76000"/>
              </a:schemeClr>
            </a:solidFill>
            <a:ln>
              <a:noFill/>
            </a:ln>
            <a:effectLst/>
          </c:spPr>
          <c:invertIfNegative val="0"/>
          <c:cat>
            <c:strRef>
              <c:f>Resultaten!$I$9:$I$18</c:f>
              <c:strCache>
                <c:ptCount val="10"/>
                <c:pt idx="0">
                  <c:v>Productie folders</c:v>
                </c:pt>
                <c:pt idx="1">
                  <c:v>Productie HAH</c:v>
                </c:pt>
                <c:pt idx="2">
                  <c:v>Productie folie</c:v>
                </c:pt>
                <c:pt idx="3">
                  <c:v>Vervoer folders</c:v>
                </c:pt>
                <c:pt idx="4">
                  <c:v>Vervoer HAH</c:v>
                </c:pt>
                <c:pt idx="5">
                  <c:v>Verwerking papier</c:v>
                </c:pt>
                <c:pt idx="6">
                  <c:v>Verwerking plastic</c:v>
                </c:pt>
                <c:pt idx="7">
                  <c:v>Productie Ja/Ja-stickers</c:v>
                </c:pt>
                <c:pt idx="8">
                  <c:v>Productie brieven nieuwe systeem</c:v>
                </c:pt>
                <c:pt idx="9">
                  <c:v>Alles digitaal</c:v>
                </c:pt>
              </c:strCache>
            </c:strRef>
          </c:cat>
          <c:val>
            <c:numRef>
              <c:f>Resultaten!$J$9:$J$18</c:f>
              <c:numCache>
                <c:formatCode>#,##0</c:formatCode>
                <c:ptCount val="10"/>
                <c:pt idx="0">
                  <c:v>33400000</c:v>
                </c:pt>
                <c:pt idx="1">
                  <c:v>5800000</c:v>
                </c:pt>
                <c:pt idx="2">
                  <c:v>300000</c:v>
                </c:pt>
                <c:pt idx="3">
                  <c:v>2200000</c:v>
                </c:pt>
                <c:pt idx="4">
                  <c:v>1600000</c:v>
                </c:pt>
                <c:pt idx="5">
                  <c:v>-23000000</c:v>
                </c:pt>
                <c:pt idx="6">
                  <c:v>-140000</c:v>
                </c:pt>
              </c:numCache>
            </c:numRef>
          </c:val>
          <c:extLst>
            <c:ext xmlns:c16="http://schemas.microsoft.com/office/drawing/2014/chart" uri="{C3380CC4-5D6E-409C-BE32-E72D297353CC}">
              <c16:uniqueId val="{00000000-1BA6-4007-BF37-18F4F2E3A673}"/>
            </c:ext>
          </c:extLst>
        </c:ser>
        <c:ser>
          <c:idx val="1"/>
          <c:order val="1"/>
          <c:tx>
            <c:strRef>
              <c:f>Resultaten!$K$8</c:f>
              <c:strCache>
                <c:ptCount val="1"/>
                <c:pt idx="0">
                  <c:v>Toekomstig</c:v>
                </c:pt>
              </c:strCache>
            </c:strRef>
          </c:tx>
          <c:spPr>
            <a:solidFill>
              <a:schemeClr val="accent5">
                <a:tint val="77000"/>
              </a:schemeClr>
            </a:solidFill>
            <a:ln>
              <a:noFill/>
            </a:ln>
            <a:effectLst/>
          </c:spPr>
          <c:invertIfNegative val="0"/>
          <c:cat>
            <c:strRef>
              <c:f>Resultaten!$I$9:$I$18</c:f>
              <c:strCache>
                <c:ptCount val="10"/>
                <c:pt idx="0">
                  <c:v>Productie folders</c:v>
                </c:pt>
                <c:pt idx="1">
                  <c:v>Productie HAH</c:v>
                </c:pt>
                <c:pt idx="2">
                  <c:v>Productie folie</c:v>
                </c:pt>
                <c:pt idx="3">
                  <c:v>Vervoer folders</c:v>
                </c:pt>
                <c:pt idx="4">
                  <c:v>Vervoer HAH</c:v>
                </c:pt>
                <c:pt idx="5">
                  <c:v>Verwerking papier</c:v>
                </c:pt>
                <c:pt idx="6">
                  <c:v>Verwerking plastic</c:v>
                </c:pt>
                <c:pt idx="7">
                  <c:v>Productie Ja/Ja-stickers</c:v>
                </c:pt>
                <c:pt idx="8">
                  <c:v>Productie brieven nieuwe systeem</c:v>
                </c:pt>
                <c:pt idx="9">
                  <c:v>Alles digitaal</c:v>
                </c:pt>
              </c:strCache>
            </c:strRef>
          </c:cat>
          <c:val>
            <c:numRef>
              <c:f>Resultaten!$K$9:$K$18</c:f>
              <c:numCache>
                <c:formatCode>#,##0</c:formatCode>
                <c:ptCount val="10"/>
                <c:pt idx="0">
                  <c:v>33400000</c:v>
                </c:pt>
                <c:pt idx="1">
                  <c:v>5800000</c:v>
                </c:pt>
                <c:pt idx="2">
                  <c:v>300000</c:v>
                </c:pt>
                <c:pt idx="3">
                  <c:v>2200000</c:v>
                </c:pt>
                <c:pt idx="4">
                  <c:v>1600000</c:v>
                </c:pt>
                <c:pt idx="5">
                  <c:v>-23000000</c:v>
                </c:pt>
                <c:pt idx="6">
                  <c:v>-140000</c:v>
                </c:pt>
                <c:pt idx="7">
                  <c:v>0</c:v>
                </c:pt>
                <c:pt idx="8">
                  <c:v>0</c:v>
                </c:pt>
                <c:pt idx="9">
                  <c:v>0</c:v>
                </c:pt>
              </c:numCache>
            </c:numRef>
          </c:val>
          <c:extLst>
            <c:ext xmlns:c16="http://schemas.microsoft.com/office/drawing/2014/chart" uri="{C3380CC4-5D6E-409C-BE32-E72D297353CC}">
              <c16:uniqueId val="{00000001-1BA6-4007-BF37-18F4F2E3A673}"/>
            </c:ext>
          </c:extLst>
        </c:ser>
        <c:dLbls>
          <c:showLegendKey val="0"/>
          <c:showVal val="0"/>
          <c:showCatName val="0"/>
          <c:showSerName val="0"/>
          <c:showPercent val="0"/>
          <c:showBubbleSize val="0"/>
        </c:dLbls>
        <c:gapWidth val="219"/>
        <c:overlap val="-27"/>
        <c:axId val="176289919"/>
        <c:axId val="184464399"/>
      </c:barChart>
      <c:catAx>
        <c:axId val="176289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464399"/>
        <c:crosses val="autoZero"/>
        <c:auto val="1"/>
        <c:lblAlgn val="ctr"/>
        <c:lblOffset val="100"/>
        <c:noMultiLvlLbl val="0"/>
      </c:catAx>
      <c:valAx>
        <c:axId val="1844643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2899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Materiaalgebruik (kg)</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Resultaten!$F$8</c:f>
              <c:strCache>
                <c:ptCount val="1"/>
                <c:pt idx="0">
                  <c:v>Huidig</c:v>
                </c:pt>
              </c:strCache>
            </c:strRef>
          </c:tx>
          <c:spPr>
            <a:solidFill>
              <a:schemeClr val="accent2">
                <a:shade val="76000"/>
              </a:schemeClr>
            </a:solidFill>
            <a:ln>
              <a:noFill/>
            </a:ln>
            <a:effectLst/>
          </c:spPr>
          <c:invertIfNegative val="0"/>
          <c:cat>
            <c:strRef>
              <c:f>Resultaten!$E$9:$E$14</c:f>
              <c:strCache>
                <c:ptCount val="6"/>
                <c:pt idx="0">
                  <c:v>Papier, reclamedrukwerk</c:v>
                </c:pt>
                <c:pt idx="1">
                  <c:v>Papier, HAH</c:v>
                </c:pt>
                <c:pt idx="2">
                  <c:v>Plastic, reclamedrukwerk</c:v>
                </c:pt>
                <c:pt idx="3">
                  <c:v>Plastic, HAH</c:v>
                </c:pt>
                <c:pt idx="4">
                  <c:v>Vinyl, Ja/Ja-stickers</c:v>
                </c:pt>
                <c:pt idx="5">
                  <c:v>Papier brieven nieuwe systeem</c:v>
                </c:pt>
              </c:strCache>
            </c:strRef>
          </c:cat>
          <c:val>
            <c:numRef>
              <c:f>Resultaten!$F$9:$F$14</c:f>
              <c:numCache>
                <c:formatCode>#,##0</c:formatCode>
                <c:ptCount val="6"/>
                <c:pt idx="0">
                  <c:v>995000</c:v>
                </c:pt>
                <c:pt idx="1">
                  <c:v>172000</c:v>
                </c:pt>
                <c:pt idx="2">
                  <c:v>3000</c:v>
                </c:pt>
                <c:pt idx="3">
                  <c:v>0</c:v>
                </c:pt>
              </c:numCache>
            </c:numRef>
          </c:val>
          <c:extLst>
            <c:ext xmlns:c16="http://schemas.microsoft.com/office/drawing/2014/chart" uri="{C3380CC4-5D6E-409C-BE32-E72D297353CC}">
              <c16:uniqueId val="{00000000-86CC-4AF8-B50C-165BE91A5FE6}"/>
            </c:ext>
          </c:extLst>
        </c:ser>
        <c:ser>
          <c:idx val="1"/>
          <c:order val="1"/>
          <c:tx>
            <c:strRef>
              <c:f>Resultaten!$G$8</c:f>
              <c:strCache>
                <c:ptCount val="1"/>
                <c:pt idx="0">
                  <c:v>Toekomstig</c:v>
                </c:pt>
              </c:strCache>
            </c:strRef>
          </c:tx>
          <c:spPr>
            <a:solidFill>
              <a:schemeClr val="accent2">
                <a:tint val="77000"/>
              </a:schemeClr>
            </a:solidFill>
            <a:ln>
              <a:noFill/>
            </a:ln>
            <a:effectLst/>
          </c:spPr>
          <c:invertIfNegative val="0"/>
          <c:cat>
            <c:strRef>
              <c:f>Resultaten!$E$9:$E$14</c:f>
              <c:strCache>
                <c:ptCount val="6"/>
                <c:pt idx="0">
                  <c:v>Papier, reclamedrukwerk</c:v>
                </c:pt>
                <c:pt idx="1">
                  <c:v>Papier, HAH</c:v>
                </c:pt>
                <c:pt idx="2">
                  <c:v>Plastic, reclamedrukwerk</c:v>
                </c:pt>
                <c:pt idx="3">
                  <c:v>Plastic, HAH</c:v>
                </c:pt>
                <c:pt idx="4">
                  <c:v>Vinyl, Ja/Ja-stickers</c:v>
                </c:pt>
                <c:pt idx="5">
                  <c:v>Papier brieven nieuwe systeem</c:v>
                </c:pt>
              </c:strCache>
            </c:strRef>
          </c:cat>
          <c:val>
            <c:numRef>
              <c:f>Resultaten!$G$9:$G$14</c:f>
              <c:numCache>
                <c:formatCode>#,##0</c:formatCode>
                <c:ptCount val="6"/>
                <c:pt idx="0">
                  <c:v>995000</c:v>
                </c:pt>
                <c:pt idx="1">
                  <c:v>172000</c:v>
                </c:pt>
                <c:pt idx="2">
                  <c:v>3000</c:v>
                </c:pt>
                <c:pt idx="3">
                  <c:v>0</c:v>
                </c:pt>
                <c:pt idx="4">
                  <c:v>0</c:v>
                </c:pt>
                <c:pt idx="5">
                  <c:v>0</c:v>
                </c:pt>
              </c:numCache>
            </c:numRef>
          </c:val>
          <c:extLst>
            <c:ext xmlns:c16="http://schemas.microsoft.com/office/drawing/2014/chart" uri="{C3380CC4-5D6E-409C-BE32-E72D297353CC}">
              <c16:uniqueId val="{00000001-86CC-4AF8-B50C-165BE91A5FE6}"/>
            </c:ext>
          </c:extLst>
        </c:ser>
        <c:dLbls>
          <c:showLegendKey val="0"/>
          <c:showVal val="0"/>
          <c:showCatName val="0"/>
          <c:showSerName val="0"/>
          <c:showPercent val="0"/>
          <c:showBubbleSize val="0"/>
        </c:dLbls>
        <c:gapWidth val="219"/>
        <c:overlap val="-27"/>
        <c:axId val="176288719"/>
        <c:axId val="184455663"/>
      </c:barChart>
      <c:catAx>
        <c:axId val="176288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455663"/>
        <c:crosses val="autoZero"/>
        <c:auto val="1"/>
        <c:lblAlgn val="ctr"/>
        <c:lblOffset val="100"/>
        <c:noMultiLvlLbl val="0"/>
      </c:catAx>
      <c:valAx>
        <c:axId val="18445566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2887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Watergebruik (m3)</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Resultaten!$N$8</c:f>
              <c:strCache>
                <c:ptCount val="1"/>
                <c:pt idx="0">
                  <c:v>Huidig</c:v>
                </c:pt>
              </c:strCache>
            </c:strRef>
          </c:tx>
          <c:spPr>
            <a:solidFill>
              <a:srgbClr val="E2AA00"/>
            </a:solidFill>
            <a:ln>
              <a:noFill/>
            </a:ln>
            <a:effectLst/>
          </c:spPr>
          <c:invertIfNegative val="0"/>
          <c:cat>
            <c:strRef>
              <c:f>Resultaten!$M$9:$M$18</c:f>
              <c:strCache>
                <c:ptCount val="10"/>
                <c:pt idx="0">
                  <c:v>Productie papier, folders</c:v>
                </c:pt>
                <c:pt idx="1">
                  <c:v>Productie papier, HAH</c:v>
                </c:pt>
                <c:pt idx="2">
                  <c:v>Productie folie</c:v>
                </c:pt>
                <c:pt idx="3">
                  <c:v>Vervoer folders</c:v>
                </c:pt>
                <c:pt idx="4">
                  <c:v>Vervoer HAH</c:v>
                </c:pt>
                <c:pt idx="5">
                  <c:v>Verwerking papier</c:v>
                </c:pt>
                <c:pt idx="6">
                  <c:v>Verwerking plastic</c:v>
                </c:pt>
                <c:pt idx="7">
                  <c:v>Productie Ja/Ja-stickers</c:v>
                </c:pt>
                <c:pt idx="8">
                  <c:v>Productie brieven nieuwe systeem</c:v>
                </c:pt>
                <c:pt idx="9">
                  <c:v>Alles digitaal</c:v>
                </c:pt>
              </c:strCache>
            </c:strRef>
          </c:cat>
          <c:val>
            <c:numRef>
              <c:f>Resultaten!$N$9:$N$18</c:f>
              <c:numCache>
                <c:formatCode>#,##0</c:formatCode>
                <c:ptCount val="10"/>
                <c:pt idx="0">
                  <c:v>21500</c:v>
                </c:pt>
                <c:pt idx="1">
                  <c:v>3700</c:v>
                </c:pt>
                <c:pt idx="2">
                  <c:v>0</c:v>
                </c:pt>
                <c:pt idx="3">
                  <c:v>400</c:v>
                </c:pt>
                <c:pt idx="4">
                  <c:v>300</c:v>
                </c:pt>
                <c:pt idx="5">
                  <c:v>-3400</c:v>
                </c:pt>
                <c:pt idx="6">
                  <c:v>10</c:v>
                </c:pt>
              </c:numCache>
            </c:numRef>
          </c:val>
          <c:extLst>
            <c:ext xmlns:c16="http://schemas.microsoft.com/office/drawing/2014/chart" uri="{C3380CC4-5D6E-409C-BE32-E72D297353CC}">
              <c16:uniqueId val="{00000000-3B46-42F4-A628-6DEA172ABDF5}"/>
            </c:ext>
          </c:extLst>
        </c:ser>
        <c:ser>
          <c:idx val="1"/>
          <c:order val="1"/>
          <c:tx>
            <c:strRef>
              <c:f>Resultaten!$O$8</c:f>
              <c:strCache>
                <c:ptCount val="1"/>
                <c:pt idx="0">
                  <c:v>Toekomst</c:v>
                </c:pt>
              </c:strCache>
            </c:strRef>
          </c:tx>
          <c:spPr>
            <a:solidFill>
              <a:srgbClr val="FFD184"/>
            </a:solidFill>
            <a:ln>
              <a:noFill/>
            </a:ln>
            <a:effectLst/>
          </c:spPr>
          <c:invertIfNegative val="0"/>
          <c:cat>
            <c:strRef>
              <c:f>Resultaten!$M$9:$M$18</c:f>
              <c:strCache>
                <c:ptCount val="10"/>
                <c:pt idx="0">
                  <c:v>Productie papier, folders</c:v>
                </c:pt>
                <c:pt idx="1">
                  <c:v>Productie papier, HAH</c:v>
                </c:pt>
                <c:pt idx="2">
                  <c:v>Productie folie</c:v>
                </c:pt>
                <c:pt idx="3">
                  <c:v>Vervoer folders</c:v>
                </c:pt>
                <c:pt idx="4">
                  <c:v>Vervoer HAH</c:v>
                </c:pt>
                <c:pt idx="5">
                  <c:v>Verwerking papier</c:v>
                </c:pt>
                <c:pt idx="6">
                  <c:v>Verwerking plastic</c:v>
                </c:pt>
                <c:pt idx="7">
                  <c:v>Productie Ja/Ja-stickers</c:v>
                </c:pt>
                <c:pt idx="8">
                  <c:v>Productie brieven nieuwe systeem</c:v>
                </c:pt>
                <c:pt idx="9">
                  <c:v>Alles digitaal</c:v>
                </c:pt>
              </c:strCache>
            </c:strRef>
          </c:cat>
          <c:val>
            <c:numRef>
              <c:f>Resultaten!$O$9:$O$18</c:f>
              <c:numCache>
                <c:formatCode>#,##0</c:formatCode>
                <c:ptCount val="10"/>
                <c:pt idx="0">
                  <c:v>21500</c:v>
                </c:pt>
                <c:pt idx="1">
                  <c:v>3700</c:v>
                </c:pt>
                <c:pt idx="2">
                  <c:v>0</c:v>
                </c:pt>
                <c:pt idx="3">
                  <c:v>400</c:v>
                </c:pt>
                <c:pt idx="4">
                  <c:v>300</c:v>
                </c:pt>
                <c:pt idx="5">
                  <c:v>-3400</c:v>
                </c:pt>
                <c:pt idx="6">
                  <c:v>10</c:v>
                </c:pt>
                <c:pt idx="7">
                  <c:v>0</c:v>
                </c:pt>
                <c:pt idx="8">
                  <c:v>0</c:v>
                </c:pt>
                <c:pt idx="9">
                  <c:v>0</c:v>
                </c:pt>
              </c:numCache>
            </c:numRef>
          </c:val>
          <c:extLst>
            <c:ext xmlns:c16="http://schemas.microsoft.com/office/drawing/2014/chart" uri="{C3380CC4-5D6E-409C-BE32-E72D297353CC}">
              <c16:uniqueId val="{00000001-3B46-42F4-A628-6DEA172ABDF5}"/>
            </c:ext>
          </c:extLst>
        </c:ser>
        <c:dLbls>
          <c:showLegendKey val="0"/>
          <c:showVal val="0"/>
          <c:showCatName val="0"/>
          <c:showSerName val="0"/>
          <c:showPercent val="0"/>
          <c:showBubbleSize val="0"/>
        </c:dLbls>
        <c:gapWidth val="219"/>
        <c:overlap val="-27"/>
        <c:axId val="177753231"/>
        <c:axId val="650196431"/>
      </c:barChart>
      <c:catAx>
        <c:axId val="177753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196431"/>
        <c:crosses val="autoZero"/>
        <c:auto val="1"/>
        <c:lblAlgn val="ctr"/>
        <c:lblOffset val="100"/>
        <c:noMultiLvlLbl val="0"/>
      </c:catAx>
      <c:valAx>
        <c:axId val="6501964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7532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Emissies (kg</a:t>
            </a:r>
            <a:r>
              <a:rPr lang="en-US" b="1" baseline="0"/>
              <a:t> CO2-eq)</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Resultaten!$R$8</c:f>
              <c:strCache>
                <c:ptCount val="1"/>
                <c:pt idx="0">
                  <c:v>Huidig</c:v>
                </c:pt>
              </c:strCache>
            </c:strRef>
          </c:tx>
          <c:spPr>
            <a:solidFill>
              <a:srgbClr val="929292"/>
            </a:solidFill>
            <a:ln>
              <a:noFill/>
            </a:ln>
            <a:effectLst/>
          </c:spPr>
          <c:invertIfNegative val="0"/>
          <c:cat>
            <c:strRef>
              <c:f>Resultaten!$Q$9:$Q$18</c:f>
              <c:strCache>
                <c:ptCount val="10"/>
                <c:pt idx="0">
                  <c:v>Productie papier, folders</c:v>
                </c:pt>
                <c:pt idx="1">
                  <c:v>Productie papier, HAH</c:v>
                </c:pt>
                <c:pt idx="2">
                  <c:v>Productie folie</c:v>
                </c:pt>
                <c:pt idx="3">
                  <c:v>Vervoer folders</c:v>
                </c:pt>
                <c:pt idx="4">
                  <c:v>Vervoer HAH</c:v>
                </c:pt>
                <c:pt idx="5">
                  <c:v>Verwerking papier</c:v>
                </c:pt>
                <c:pt idx="6">
                  <c:v>Verwerking plastic</c:v>
                </c:pt>
                <c:pt idx="7">
                  <c:v>Productie Ja/Ja-stickers</c:v>
                </c:pt>
                <c:pt idx="8">
                  <c:v>Productie brieven nieuwe systeem</c:v>
                </c:pt>
                <c:pt idx="9">
                  <c:v>Alles digitaal</c:v>
                </c:pt>
              </c:strCache>
            </c:strRef>
          </c:cat>
          <c:val>
            <c:numRef>
              <c:f>Resultaten!$R$9:$R$18</c:f>
              <c:numCache>
                <c:formatCode>#,##0</c:formatCode>
                <c:ptCount val="10"/>
                <c:pt idx="0">
                  <c:v>1154000</c:v>
                </c:pt>
                <c:pt idx="1">
                  <c:v>200000</c:v>
                </c:pt>
                <c:pt idx="2">
                  <c:v>9000</c:v>
                </c:pt>
                <c:pt idx="3">
                  <c:v>139000</c:v>
                </c:pt>
                <c:pt idx="4">
                  <c:v>100000</c:v>
                </c:pt>
                <c:pt idx="5">
                  <c:v>-260000</c:v>
                </c:pt>
                <c:pt idx="6">
                  <c:v>-1000</c:v>
                </c:pt>
              </c:numCache>
            </c:numRef>
          </c:val>
          <c:extLst>
            <c:ext xmlns:c16="http://schemas.microsoft.com/office/drawing/2014/chart" uri="{C3380CC4-5D6E-409C-BE32-E72D297353CC}">
              <c16:uniqueId val="{00000000-B31B-4227-AF44-F4744EA11112}"/>
            </c:ext>
          </c:extLst>
        </c:ser>
        <c:ser>
          <c:idx val="1"/>
          <c:order val="1"/>
          <c:tx>
            <c:strRef>
              <c:f>Resultaten!$S$8</c:f>
              <c:strCache>
                <c:ptCount val="1"/>
                <c:pt idx="0">
                  <c:v>Toekomst</c:v>
                </c:pt>
              </c:strCache>
            </c:strRef>
          </c:tx>
          <c:spPr>
            <a:solidFill>
              <a:srgbClr val="BFBFBF"/>
            </a:solidFill>
            <a:ln>
              <a:noFill/>
            </a:ln>
            <a:effectLst/>
          </c:spPr>
          <c:invertIfNegative val="0"/>
          <c:cat>
            <c:strRef>
              <c:f>Resultaten!$Q$9:$Q$18</c:f>
              <c:strCache>
                <c:ptCount val="10"/>
                <c:pt idx="0">
                  <c:v>Productie papier, folders</c:v>
                </c:pt>
                <c:pt idx="1">
                  <c:v>Productie papier, HAH</c:v>
                </c:pt>
                <c:pt idx="2">
                  <c:v>Productie folie</c:v>
                </c:pt>
                <c:pt idx="3">
                  <c:v>Vervoer folders</c:v>
                </c:pt>
                <c:pt idx="4">
                  <c:v>Vervoer HAH</c:v>
                </c:pt>
                <c:pt idx="5">
                  <c:v>Verwerking papier</c:v>
                </c:pt>
                <c:pt idx="6">
                  <c:v>Verwerking plastic</c:v>
                </c:pt>
                <c:pt idx="7">
                  <c:v>Productie Ja/Ja-stickers</c:v>
                </c:pt>
                <c:pt idx="8">
                  <c:v>Productie brieven nieuwe systeem</c:v>
                </c:pt>
                <c:pt idx="9">
                  <c:v>Alles digitaal</c:v>
                </c:pt>
              </c:strCache>
            </c:strRef>
          </c:cat>
          <c:val>
            <c:numRef>
              <c:f>Resultaten!$S$9:$S$18</c:f>
              <c:numCache>
                <c:formatCode>#,##0</c:formatCode>
                <c:ptCount val="10"/>
                <c:pt idx="0">
                  <c:v>1154000</c:v>
                </c:pt>
                <c:pt idx="1">
                  <c:v>200000</c:v>
                </c:pt>
                <c:pt idx="2">
                  <c:v>9000</c:v>
                </c:pt>
                <c:pt idx="3">
                  <c:v>139000</c:v>
                </c:pt>
                <c:pt idx="4">
                  <c:v>100000</c:v>
                </c:pt>
                <c:pt idx="5">
                  <c:v>-260000</c:v>
                </c:pt>
                <c:pt idx="6">
                  <c:v>-1000</c:v>
                </c:pt>
                <c:pt idx="7">
                  <c:v>0</c:v>
                </c:pt>
                <c:pt idx="8">
                  <c:v>0</c:v>
                </c:pt>
                <c:pt idx="9">
                  <c:v>0</c:v>
                </c:pt>
              </c:numCache>
            </c:numRef>
          </c:val>
          <c:extLst>
            <c:ext xmlns:c16="http://schemas.microsoft.com/office/drawing/2014/chart" uri="{C3380CC4-5D6E-409C-BE32-E72D297353CC}">
              <c16:uniqueId val="{00000001-B31B-4227-AF44-F4744EA11112}"/>
            </c:ext>
          </c:extLst>
        </c:ser>
        <c:dLbls>
          <c:showLegendKey val="0"/>
          <c:showVal val="0"/>
          <c:showCatName val="0"/>
          <c:showSerName val="0"/>
          <c:showPercent val="0"/>
          <c:showBubbleSize val="0"/>
        </c:dLbls>
        <c:gapWidth val="219"/>
        <c:overlap val="-27"/>
        <c:axId val="343646415"/>
        <c:axId val="578761311"/>
      </c:barChart>
      <c:catAx>
        <c:axId val="3436464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61311"/>
        <c:crosses val="autoZero"/>
        <c:auto val="1"/>
        <c:lblAlgn val="ctr"/>
        <c:lblOffset val="100"/>
        <c:noMultiLvlLbl val="0"/>
      </c:catAx>
      <c:valAx>
        <c:axId val="5787613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36464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withinLinear" id="16">
  <a:schemeClr val="accent3"/>
</cs:colorStyle>
</file>

<file path=xl/charts/colors5.xml><?xml version="1.0" encoding="utf-8"?>
<cs:colorStyle xmlns:cs="http://schemas.microsoft.com/office/drawing/2012/chartStyle" xmlns:a="http://schemas.openxmlformats.org/drawingml/2006/main" meth="withinLinear" id="18">
  <a:schemeClr val="accent5"/>
</cs:colorStyle>
</file>

<file path=xl/charts/colors6.xml><?xml version="1.0" encoding="utf-8"?>
<cs:colorStyle xmlns:cs="http://schemas.microsoft.com/office/drawing/2012/chartStyle" xmlns:a="http://schemas.openxmlformats.org/drawingml/2006/main" meth="withinLinear" id="15">
  <a:schemeClr val="accent2"/>
</cs:colorStyle>
</file>

<file path=xl/charts/colors7.xml><?xml version="1.0" encoding="utf-8"?>
<cs:colorStyle xmlns:cs="http://schemas.microsoft.com/office/drawing/2012/chartStyle" xmlns:a="http://schemas.openxmlformats.org/drawingml/2006/main" meth="withinLinear" id="17">
  <a:schemeClr val="accent4"/>
</cs:colorStyle>
</file>

<file path=xl/charts/colors8.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B$9"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K$36" lockText="1" noThreeD="1"/>
</file>

<file path=xl/ctrlProps/ctrlProp5.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4.svg"/><Relationship Id="rId4" Type="http://schemas.openxmlformats.org/officeDocument/2006/relationships/chart" Target="../charts/chart4.xml"/><Relationship Id="rId9"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20374</xdr:colOff>
      <xdr:row>0</xdr:row>
      <xdr:rowOff>93852</xdr:rowOff>
    </xdr:from>
    <xdr:ext cx="825446" cy="510253"/>
    <xdr:pic>
      <xdr:nvPicPr>
        <xdr:cNvPr id="2" name="Picture 1" descr="Lobbysessie M50 bij de VNG - M50 Middelgrote Gemeent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394" y="93852"/>
          <a:ext cx="825446" cy="510253"/>
        </a:xfrm>
        <a:prstGeom prst="rect">
          <a:avLst/>
        </a:prstGeom>
        <a:noFill/>
        <a:ln w="19050">
          <a:solidFill>
            <a:sysClr val="windowText" lastClr="000000"/>
          </a:solidFill>
        </a:ln>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144779</xdr:colOff>
      <xdr:row>1</xdr:row>
      <xdr:rowOff>30480</xdr:rowOff>
    </xdr:from>
    <xdr:to>
      <xdr:col>6</xdr:col>
      <xdr:colOff>320040</xdr:colOff>
      <xdr:row>3</xdr:row>
      <xdr:rowOff>59271</xdr:rowOff>
    </xdr:to>
    <xdr:sp macro="" textlink="">
      <xdr:nvSpPr>
        <xdr:cNvPr id="5" name="Freeform 24">
          <a:extLst>
            <a:ext uri="{FF2B5EF4-FFF2-40B4-BE49-F238E27FC236}">
              <a16:creationId xmlns:a16="http://schemas.microsoft.com/office/drawing/2014/main" id="{00000000-0008-0000-0000-000005000000}"/>
            </a:ext>
          </a:extLst>
        </xdr:cNvPr>
        <xdr:cNvSpPr>
          <a:spLocks noEditPoints="1"/>
        </xdr:cNvSpPr>
      </xdr:nvSpPr>
      <xdr:spPr bwMode="auto">
        <a:xfrm>
          <a:off x="1142999" y="182880"/>
          <a:ext cx="2049781" cy="333591"/>
        </a:xfrm>
        <a:custGeom>
          <a:avLst/>
          <a:gdLst>
            <a:gd name="T0" fmla="*/ 63 w 2041"/>
            <a:gd name="T1" fmla="*/ 30 h 332"/>
            <a:gd name="T2" fmla="*/ 44 w 2041"/>
            <a:gd name="T3" fmla="*/ 178 h 332"/>
            <a:gd name="T4" fmla="*/ 0 w 2041"/>
            <a:gd name="T5" fmla="*/ 310 h 332"/>
            <a:gd name="T6" fmla="*/ 63 w 2041"/>
            <a:gd name="T7" fmla="*/ 332 h 332"/>
            <a:gd name="T8" fmla="*/ 87 w 2041"/>
            <a:gd name="T9" fmla="*/ 262 h 332"/>
            <a:gd name="T10" fmla="*/ 272 w 2041"/>
            <a:gd name="T11" fmla="*/ 234 h 332"/>
            <a:gd name="T12" fmla="*/ 295 w 2041"/>
            <a:gd name="T13" fmla="*/ 332 h 332"/>
            <a:gd name="T14" fmla="*/ 357 w 2041"/>
            <a:gd name="T15" fmla="*/ 310 h 332"/>
            <a:gd name="T16" fmla="*/ 334 w 2041"/>
            <a:gd name="T17" fmla="*/ 0 h 332"/>
            <a:gd name="T18" fmla="*/ 124 w 2041"/>
            <a:gd name="T19" fmla="*/ 149 h 332"/>
            <a:gd name="T20" fmla="*/ 124 w 2041"/>
            <a:gd name="T21" fmla="*/ 72 h 332"/>
            <a:gd name="T22" fmla="*/ 272 w 2041"/>
            <a:gd name="T23" fmla="*/ 157 h 332"/>
            <a:gd name="T24" fmla="*/ 1113 w 2041"/>
            <a:gd name="T25" fmla="*/ 0 h 332"/>
            <a:gd name="T26" fmla="*/ 894 w 2041"/>
            <a:gd name="T27" fmla="*/ 22 h 332"/>
            <a:gd name="T28" fmla="*/ 917 w 2041"/>
            <a:gd name="T29" fmla="*/ 332 h 332"/>
            <a:gd name="T30" fmla="*/ 1239 w 2041"/>
            <a:gd name="T31" fmla="*/ 230 h 332"/>
            <a:gd name="T32" fmla="*/ 965 w 2041"/>
            <a:gd name="T33" fmla="*/ 66 h 332"/>
            <a:gd name="T34" fmla="*/ 1143 w 2041"/>
            <a:gd name="T35" fmla="*/ 102 h 332"/>
            <a:gd name="T36" fmla="*/ 965 w 2041"/>
            <a:gd name="T37" fmla="*/ 138 h 332"/>
            <a:gd name="T38" fmla="*/ 1126 w 2041"/>
            <a:gd name="T39" fmla="*/ 266 h 332"/>
            <a:gd name="T40" fmla="*/ 1126 w 2041"/>
            <a:gd name="T41" fmla="*/ 194 h 332"/>
            <a:gd name="T42" fmla="*/ 1151 w 2041"/>
            <a:gd name="T43" fmla="*/ 255 h 332"/>
            <a:gd name="T44" fmla="*/ 2034 w 2041"/>
            <a:gd name="T45" fmla="*/ 326 h 332"/>
            <a:gd name="T46" fmla="*/ 1763 w 2041"/>
            <a:gd name="T47" fmla="*/ 326 h 332"/>
            <a:gd name="T48" fmla="*/ 1763 w 2041"/>
            <a:gd name="T49" fmla="*/ 261 h 332"/>
            <a:gd name="T50" fmla="*/ 1781 w 2041"/>
            <a:gd name="T51" fmla="*/ 72 h 332"/>
            <a:gd name="T52" fmla="*/ 1756 w 2041"/>
            <a:gd name="T53" fmla="*/ 50 h 332"/>
            <a:gd name="T54" fmla="*/ 1780 w 2041"/>
            <a:gd name="T55" fmla="*/ 0 h 332"/>
            <a:gd name="T56" fmla="*/ 1864 w 2041"/>
            <a:gd name="T57" fmla="*/ 22 h 332"/>
            <a:gd name="T58" fmla="*/ 2034 w 2041"/>
            <a:gd name="T59" fmla="*/ 261 h 332"/>
            <a:gd name="T60" fmla="*/ 1635 w 2041"/>
            <a:gd name="T61" fmla="*/ 37 h 332"/>
            <a:gd name="T62" fmla="*/ 1614 w 2041"/>
            <a:gd name="T63" fmla="*/ 86 h 332"/>
            <a:gd name="T64" fmla="*/ 1423 w 2041"/>
            <a:gd name="T65" fmla="*/ 111 h 332"/>
            <a:gd name="T66" fmla="*/ 1628 w 2041"/>
            <a:gd name="T67" fmla="*/ 137 h 332"/>
            <a:gd name="T68" fmla="*/ 1628 w 2041"/>
            <a:gd name="T69" fmla="*/ 195 h 332"/>
            <a:gd name="T70" fmla="*/ 1423 w 2041"/>
            <a:gd name="T71" fmla="*/ 221 h 332"/>
            <a:gd name="T72" fmla="*/ 1614 w 2041"/>
            <a:gd name="T73" fmla="*/ 246 h 332"/>
            <a:gd name="T74" fmla="*/ 1635 w 2041"/>
            <a:gd name="T75" fmla="*/ 296 h 332"/>
            <a:gd name="T76" fmla="*/ 1443 w 2041"/>
            <a:gd name="T77" fmla="*/ 316 h 332"/>
            <a:gd name="T78" fmla="*/ 1345 w 2041"/>
            <a:gd name="T79" fmla="*/ 111 h 332"/>
            <a:gd name="T80" fmla="*/ 1614 w 2041"/>
            <a:gd name="T81" fmla="*/ 17 h 332"/>
            <a:gd name="T82" fmla="*/ 771 w 2041"/>
            <a:gd name="T83" fmla="*/ 111 h 332"/>
            <a:gd name="T84" fmla="*/ 673 w 2041"/>
            <a:gd name="T85" fmla="*/ 316 h 332"/>
            <a:gd name="T86" fmla="*/ 482 w 2041"/>
            <a:gd name="T87" fmla="*/ 296 h 332"/>
            <a:gd name="T88" fmla="*/ 502 w 2041"/>
            <a:gd name="T89" fmla="*/ 246 h 332"/>
            <a:gd name="T90" fmla="*/ 694 w 2041"/>
            <a:gd name="T91" fmla="*/ 221 h 332"/>
            <a:gd name="T92" fmla="*/ 488 w 2041"/>
            <a:gd name="T93" fmla="*/ 195 h 332"/>
            <a:gd name="T94" fmla="*/ 488 w 2041"/>
            <a:gd name="T95" fmla="*/ 137 h 332"/>
            <a:gd name="T96" fmla="*/ 694 w 2041"/>
            <a:gd name="T97" fmla="*/ 111 h 332"/>
            <a:gd name="T98" fmla="*/ 502 w 2041"/>
            <a:gd name="T99" fmla="*/ 86 h 332"/>
            <a:gd name="T100" fmla="*/ 481 w 2041"/>
            <a:gd name="T101" fmla="*/ 37 h 332"/>
            <a:gd name="T102" fmla="*/ 673 w 2041"/>
            <a:gd name="T103" fmla="*/ 16 h 3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2041" h="332">
              <a:moveTo>
                <a:pt x="334" y="0"/>
              </a:moveTo>
              <a:cubicBezTo>
                <a:pt x="140" y="0"/>
                <a:pt x="140" y="0"/>
                <a:pt x="140" y="0"/>
              </a:cubicBezTo>
              <a:cubicBezTo>
                <a:pt x="110" y="0"/>
                <a:pt x="84" y="10"/>
                <a:pt x="63" y="30"/>
              </a:cubicBezTo>
              <a:cubicBezTo>
                <a:pt x="41" y="51"/>
                <a:pt x="31" y="76"/>
                <a:pt x="31" y="105"/>
              </a:cubicBezTo>
              <a:cubicBezTo>
                <a:pt x="31" y="128"/>
                <a:pt x="31" y="128"/>
                <a:pt x="31" y="128"/>
              </a:cubicBezTo>
              <a:cubicBezTo>
                <a:pt x="31" y="146"/>
                <a:pt x="35" y="163"/>
                <a:pt x="44" y="178"/>
              </a:cubicBezTo>
              <a:cubicBezTo>
                <a:pt x="28" y="188"/>
                <a:pt x="18" y="197"/>
                <a:pt x="11" y="208"/>
              </a:cubicBezTo>
              <a:cubicBezTo>
                <a:pt x="4" y="221"/>
                <a:pt x="0" y="238"/>
                <a:pt x="0" y="262"/>
              </a:cubicBezTo>
              <a:cubicBezTo>
                <a:pt x="0" y="310"/>
                <a:pt x="0" y="310"/>
                <a:pt x="0" y="310"/>
              </a:cubicBezTo>
              <a:cubicBezTo>
                <a:pt x="0" y="316"/>
                <a:pt x="3" y="322"/>
                <a:pt x="7" y="326"/>
              </a:cubicBezTo>
              <a:cubicBezTo>
                <a:pt x="12" y="330"/>
                <a:pt x="17" y="332"/>
                <a:pt x="24" y="332"/>
              </a:cubicBezTo>
              <a:cubicBezTo>
                <a:pt x="63" y="332"/>
                <a:pt x="63" y="332"/>
                <a:pt x="63" y="332"/>
              </a:cubicBezTo>
              <a:cubicBezTo>
                <a:pt x="70" y="332"/>
                <a:pt x="75" y="330"/>
                <a:pt x="80" y="326"/>
              </a:cubicBezTo>
              <a:cubicBezTo>
                <a:pt x="84" y="322"/>
                <a:pt x="87" y="316"/>
                <a:pt x="87" y="310"/>
              </a:cubicBezTo>
              <a:cubicBezTo>
                <a:pt x="87" y="262"/>
                <a:pt x="87" y="262"/>
                <a:pt x="87" y="262"/>
              </a:cubicBezTo>
              <a:cubicBezTo>
                <a:pt x="87" y="254"/>
                <a:pt x="89" y="247"/>
                <a:pt x="93" y="242"/>
              </a:cubicBezTo>
              <a:cubicBezTo>
                <a:pt x="98" y="237"/>
                <a:pt x="103" y="234"/>
                <a:pt x="109" y="234"/>
              </a:cubicBezTo>
              <a:cubicBezTo>
                <a:pt x="272" y="234"/>
                <a:pt x="272" y="234"/>
                <a:pt x="272" y="234"/>
              </a:cubicBezTo>
              <a:cubicBezTo>
                <a:pt x="272" y="310"/>
                <a:pt x="272" y="310"/>
                <a:pt x="272" y="310"/>
              </a:cubicBezTo>
              <a:cubicBezTo>
                <a:pt x="272" y="316"/>
                <a:pt x="274" y="322"/>
                <a:pt x="278" y="326"/>
              </a:cubicBezTo>
              <a:cubicBezTo>
                <a:pt x="283" y="330"/>
                <a:pt x="288" y="332"/>
                <a:pt x="295" y="332"/>
              </a:cubicBezTo>
              <a:cubicBezTo>
                <a:pt x="334" y="332"/>
                <a:pt x="334" y="332"/>
                <a:pt x="334" y="332"/>
              </a:cubicBezTo>
              <a:cubicBezTo>
                <a:pt x="341" y="332"/>
                <a:pt x="346" y="330"/>
                <a:pt x="351" y="326"/>
              </a:cubicBezTo>
              <a:cubicBezTo>
                <a:pt x="355" y="322"/>
                <a:pt x="357" y="316"/>
                <a:pt x="357" y="310"/>
              </a:cubicBezTo>
              <a:cubicBezTo>
                <a:pt x="357" y="22"/>
                <a:pt x="357" y="22"/>
                <a:pt x="357" y="22"/>
              </a:cubicBezTo>
              <a:cubicBezTo>
                <a:pt x="357" y="16"/>
                <a:pt x="355" y="11"/>
                <a:pt x="351" y="6"/>
              </a:cubicBezTo>
              <a:cubicBezTo>
                <a:pt x="346" y="2"/>
                <a:pt x="341" y="0"/>
                <a:pt x="334" y="0"/>
              </a:cubicBezTo>
              <a:close/>
              <a:moveTo>
                <a:pt x="272" y="157"/>
              </a:moveTo>
              <a:cubicBezTo>
                <a:pt x="140" y="157"/>
                <a:pt x="140" y="157"/>
                <a:pt x="140" y="157"/>
              </a:cubicBezTo>
              <a:cubicBezTo>
                <a:pt x="134" y="157"/>
                <a:pt x="129" y="154"/>
                <a:pt x="124" y="149"/>
              </a:cubicBezTo>
              <a:cubicBezTo>
                <a:pt x="119" y="144"/>
                <a:pt x="117" y="137"/>
                <a:pt x="117" y="129"/>
              </a:cubicBezTo>
              <a:cubicBezTo>
                <a:pt x="117" y="92"/>
                <a:pt x="117" y="92"/>
                <a:pt x="117" y="92"/>
              </a:cubicBezTo>
              <a:cubicBezTo>
                <a:pt x="117" y="84"/>
                <a:pt x="119" y="77"/>
                <a:pt x="124" y="72"/>
              </a:cubicBezTo>
              <a:cubicBezTo>
                <a:pt x="129" y="67"/>
                <a:pt x="134" y="64"/>
                <a:pt x="140" y="64"/>
              </a:cubicBezTo>
              <a:cubicBezTo>
                <a:pt x="272" y="64"/>
                <a:pt x="272" y="64"/>
                <a:pt x="272" y="64"/>
              </a:cubicBezTo>
              <a:lnTo>
                <a:pt x="272" y="157"/>
              </a:lnTo>
              <a:close/>
              <a:moveTo>
                <a:pt x="1222" y="102"/>
              </a:moveTo>
              <a:cubicBezTo>
                <a:pt x="1222" y="74"/>
                <a:pt x="1212" y="50"/>
                <a:pt x="1190" y="30"/>
              </a:cubicBezTo>
              <a:cubicBezTo>
                <a:pt x="1169" y="10"/>
                <a:pt x="1143" y="0"/>
                <a:pt x="1113" y="0"/>
              </a:cubicBezTo>
              <a:cubicBezTo>
                <a:pt x="917" y="0"/>
                <a:pt x="917" y="0"/>
                <a:pt x="917" y="0"/>
              </a:cubicBezTo>
              <a:cubicBezTo>
                <a:pt x="911" y="0"/>
                <a:pt x="905" y="2"/>
                <a:pt x="901" y="6"/>
              </a:cubicBezTo>
              <a:cubicBezTo>
                <a:pt x="896" y="11"/>
                <a:pt x="894" y="16"/>
                <a:pt x="894" y="22"/>
              </a:cubicBezTo>
              <a:cubicBezTo>
                <a:pt x="894" y="310"/>
                <a:pt x="894" y="310"/>
                <a:pt x="894" y="310"/>
              </a:cubicBezTo>
              <a:cubicBezTo>
                <a:pt x="894" y="316"/>
                <a:pt x="896" y="322"/>
                <a:pt x="901" y="326"/>
              </a:cubicBezTo>
              <a:cubicBezTo>
                <a:pt x="905" y="330"/>
                <a:pt x="911" y="332"/>
                <a:pt x="917" y="332"/>
              </a:cubicBezTo>
              <a:cubicBezTo>
                <a:pt x="1130" y="332"/>
                <a:pt x="1130" y="332"/>
                <a:pt x="1130" y="332"/>
              </a:cubicBezTo>
              <a:cubicBezTo>
                <a:pt x="1160" y="332"/>
                <a:pt x="1186" y="323"/>
                <a:pt x="1207" y="303"/>
              </a:cubicBezTo>
              <a:cubicBezTo>
                <a:pt x="1228" y="283"/>
                <a:pt x="1239" y="259"/>
                <a:pt x="1239" y="230"/>
              </a:cubicBezTo>
              <a:cubicBezTo>
                <a:pt x="1239" y="201"/>
                <a:pt x="1228" y="177"/>
                <a:pt x="1205" y="157"/>
              </a:cubicBezTo>
              <a:cubicBezTo>
                <a:pt x="1217" y="140"/>
                <a:pt x="1222" y="122"/>
                <a:pt x="1222" y="102"/>
              </a:cubicBezTo>
              <a:close/>
              <a:moveTo>
                <a:pt x="965" y="66"/>
              </a:moveTo>
              <a:cubicBezTo>
                <a:pt x="1109" y="66"/>
                <a:pt x="1109" y="66"/>
                <a:pt x="1109" y="66"/>
              </a:cubicBezTo>
              <a:cubicBezTo>
                <a:pt x="1118" y="66"/>
                <a:pt x="1126" y="69"/>
                <a:pt x="1133" y="76"/>
              </a:cubicBezTo>
              <a:cubicBezTo>
                <a:pt x="1140" y="83"/>
                <a:pt x="1143" y="92"/>
                <a:pt x="1143" y="102"/>
              </a:cubicBezTo>
              <a:cubicBezTo>
                <a:pt x="1143" y="112"/>
                <a:pt x="1140" y="121"/>
                <a:pt x="1133" y="128"/>
              </a:cubicBezTo>
              <a:cubicBezTo>
                <a:pt x="1126" y="135"/>
                <a:pt x="1118" y="138"/>
                <a:pt x="1109" y="138"/>
              </a:cubicBezTo>
              <a:cubicBezTo>
                <a:pt x="965" y="138"/>
                <a:pt x="965" y="138"/>
                <a:pt x="965" y="138"/>
              </a:cubicBezTo>
              <a:lnTo>
                <a:pt x="965" y="66"/>
              </a:lnTo>
              <a:close/>
              <a:moveTo>
                <a:pt x="1151" y="255"/>
              </a:moveTo>
              <a:cubicBezTo>
                <a:pt x="1144" y="262"/>
                <a:pt x="1135" y="266"/>
                <a:pt x="1126" y="266"/>
              </a:cubicBezTo>
              <a:cubicBezTo>
                <a:pt x="965" y="266"/>
                <a:pt x="965" y="266"/>
                <a:pt x="965" y="266"/>
              </a:cubicBezTo>
              <a:cubicBezTo>
                <a:pt x="965" y="194"/>
                <a:pt x="965" y="194"/>
                <a:pt x="965" y="194"/>
              </a:cubicBezTo>
              <a:cubicBezTo>
                <a:pt x="1126" y="194"/>
                <a:pt x="1126" y="194"/>
                <a:pt x="1126" y="194"/>
              </a:cubicBezTo>
              <a:cubicBezTo>
                <a:pt x="1136" y="194"/>
                <a:pt x="1144" y="197"/>
                <a:pt x="1151" y="204"/>
              </a:cubicBezTo>
              <a:cubicBezTo>
                <a:pt x="1157" y="211"/>
                <a:pt x="1161" y="220"/>
                <a:pt x="1161" y="230"/>
              </a:cubicBezTo>
              <a:cubicBezTo>
                <a:pt x="1161" y="240"/>
                <a:pt x="1157" y="249"/>
                <a:pt x="1151" y="255"/>
              </a:cubicBezTo>
              <a:close/>
              <a:moveTo>
                <a:pt x="2041" y="278"/>
              </a:moveTo>
              <a:cubicBezTo>
                <a:pt x="2041" y="310"/>
                <a:pt x="2041" y="310"/>
                <a:pt x="2041" y="310"/>
              </a:cubicBezTo>
              <a:cubicBezTo>
                <a:pt x="2041" y="316"/>
                <a:pt x="2038" y="322"/>
                <a:pt x="2034" y="326"/>
              </a:cubicBezTo>
              <a:cubicBezTo>
                <a:pt x="2029" y="330"/>
                <a:pt x="2024" y="332"/>
                <a:pt x="2017" y="332"/>
              </a:cubicBezTo>
              <a:cubicBezTo>
                <a:pt x="1780" y="332"/>
                <a:pt x="1780" y="332"/>
                <a:pt x="1780" y="332"/>
              </a:cubicBezTo>
              <a:cubicBezTo>
                <a:pt x="1773" y="332"/>
                <a:pt x="1767" y="330"/>
                <a:pt x="1763" y="326"/>
              </a:cubicBezTo>
              <a:cubicBezTo>
                <a:pt x="1758" y="322"/>
                <a:pt x="1756" y="316"/>
                <a:pt x="1756" y="310"/>
              </a:cubicBezTo>
              <a:cubicBezTo>
                <a:pt x="1756" y="278"/>
                <a:pt x="1756" y="278"/>
                <a:pt x="1756" y="278"/>
              </a:cubicBezTo>
              <a:cubicBezTo>
                <a:pt x="1756" y="271"/>
                <a:pt x="1758" y="266"/>
                <a:pt x="1763" y="261"/>
              </a:cubicBezTo>
              <a:cubicBezTo>
                <a:pt x="1767" y="257"/>
                <a:pt x="1773" y="255"/>
                <a:pt x="1780" y="255"/>
              </a:cubicBezTo>
              <a:cubicBezTo>
                <a:pt x="1781" y="255"/>
                <a:pt x="1781" y="255"/>
                <a:pt x="1781" y="255"/>
              </a:cubicBezTo>
              <a:cubicBezTo>
                <a:pt x="1781" y="72"/>
                <a:pt x="1781" y="72"/>
                <a:pt x="1781" y="72"/>
              </a:cubicBezTo>
              <a:cubicBezTo>
                <a:pt x="1780" y="72"/>
                <a:pt x="1780" y="72"/>
                <a:pt x="1780" y="72"/>
              </a:cubicBezTo>
              <a:cubicBezTo>
                <a:pt x="1773" y="72"/>
                <a:pt x="1767" y="70"/>
                <a:pt x="1763" y="66"/>
              </a:cubicBezTo>
              <a:cubicBezTo>
                <a:pt x="1758" y="61"/>
                <a:pt x="1756" y="56"/>
                <a:pt x="1756" y="50"/>
              </a:cubicBezTo>
              <a:cubicBezTo>
                <a:pt x="1756" y="22"/>
                <a:pt x="1756" y="22"/>
                <a:pt x="1756" y="22"/>
              </a:cubicBezTo>
              <a:cubicBezTo>
                <a:pt x="1756" y="16"/>
                <a:pt x="1758" y="11"/>
                <a:pt x="1763" y="6"/>
              </a:cubicBezTo>
              <a:cubicBezTo>
                <a:pt x="1767" y="2"/>
                <a:pt x="1773" y="0"/>
                <a:pt x="1780" y="0"/>
              </a:cubicBezTo>
              <a:cubicBezTo>
                <a:pt x="1841" y="0"/>
                <a:pt x="1841" y="0"/>
                <a:pt x="1841" y="0"/>
              </a:cubicBezTo>
              <a:cubicBezTo>
                <a:pt x="1847" y="0"/>
                <a:pt x="1853" y="2"/>
                <a:pt x="1858" y="6"/>
              </a:cubicBezTo>
              <a:cubicBezTo>
                <a:pt x="1862" y="11"/>
                <a:pt x="1864" y="16"/>
                <a:pt x="1864" y="22"/>
              </a:cubicBezTo>
              <a:cubicBezTo>
                <a:pt x="1864" y="255"/>
                <a:pt x="1864" y="255"/>
                <a:pt x="1864" y="255"/>
              </a:cubicBezTo>
              <a:cubicBezTo>
                <a:pt x="2017" y="255"/>
                <a:pt x="2017" y="255"/>
                <a:pt x="2017" y="255"/>
              </a:cubicBezTo>
              <a:cubicBezTo>
                <a:pt x="2024" y="255"/>
                <a:pt x="2029" y="257"/>
                <a:pt x="2034" y="261"/>
              </a:cubicBezTo>
              <a:cubicBezTo>
                <a:pt x="2038" y="266"/>
                <a:pt x="2041" y="271"/>
                <a:pt x="2041" y="278"/>
              </a:cubicBezTo>
              <a:close/>
              <a:moveTo>
                <a:pt x="1629" y="22"/>
              </a:moveTo>
              <a:cubicBezTo>
                <a:pt x="1633" y="26"/>
                <a:pt x="1635" y="31"/>
                <a:pt x="1635" y="37"/>
              </a:cubicBezTo>
              <a:cubicBezTo>
                <a:pt x="1635" y="66"/>
                <a:pt x="1635" y="66"/>
                <a:pt x="1635" y="66"/>
              </a:cubicBezTo>
              <a:cubicBezTo>
                <a:pt x="1635" y="71"/>
                <a:pt x="1633" y="76"/>
                <a:pt x="1629" y="80"/>
              </a:cubicBezTo>
              <a:cubicBezTo>
                <a:pt x="1625" y="84"/>
                <a:pt x="1620" y="86"/>
                <a:pt x="1614" y="86"/>
              </a:cubicBezTo>
              <a:cubicBezTo>
                <a:pt x="1443" y="86"/>
                <a:pt x="1443" y="86"/>
                <a:pt x="1443" y="86"/>
              </a:cubicBezTo>
              <a:cubicBezTo>
                <a:pt x="1438" y="86"/>
                <a:pt x="1433" y="88"/>
                <a:pt x="1429" y="93"/>
              </a:cubicBezTo>
              <a:cubicBezTo>
                <a:pt x="1425" y="98"/>
                <a:pt x="1423" y="104"/>
                <a:pt x="1423" y="111"/>
              </a:cubicBezTo>
              <a:cubicBezTo>
                <a:pt x="1422" y="131"/>
                <a:pt x="1422" y="131"/>
                <a:pt x="1422" y="131"/>
              </a:cubicBezTo>
              <a:cubicBezTo>
                <a:pt x="1614" y="131"/>
                <a:pt x="1614" y="131"/>
                <a:pt x="1614" y="131"/>
              </a:cubicBezTo>
              <a:cubicBezTo>
                <a:pt x="1620" y="131"/>
                <a:pt x="1624" y="133"/>
                <a:pt x="1628" y="137"/>
              </a:cubicBezTo>
              <a:cubicBezTo>
                <a:pt x="1633" y="141"/>
                <a:pt x="1635" y="145"/>
                <a:pt x="1635" y="151"/>
              </a:cubicBezTo>
              <a:cubicBezTo>
                <a:pt x="1635" y="181"/>
                <a:pt x="1635" y="181"/>
                <a:pt x="1635" y="181"/>
              </a:cubicBezTo>
              <a:cubicBezTo>
                <a:pt x="1635" y="186"/>
                <a:pt x="1633" y="191"/>
                <a:pt x="1628" y="195"/>
              </a:cubicBezTo>
              <a:cubicBezTo>
                <a:pt x="1624" y="199"/>
                <a:pt x="1620" y="201"/>
                <a:pt x="1614" y="201"/>
              </a:cubicBezTo>
              <a:cubicBezTo>
                <a:pt x="1422" y="201"/>
                <a:pt x="1422" y="201"/>
                <a:pt x="1422" y="201"/>
              </a:cubicBezTo>
              <a:cubicBezTo>
                <a:pt x="1423" y="221"/>
                <a:pt x="1423" y="221"/>
                <a:pt x="1423" y="221"/>
              </a:cubicBezTo>
              <a:cubicBezTo>
                <a:pt x="1423" y="229"/>
                <a:pt x="1425" y="235"/>
                <a:pt x="1429" y="239"/>
              </a:cubicBezTo>
              <a:cubicBezTo>
                <a:pt x="1433" y="244"/>
                <a:pt x="1438" y="246"/>
                <a:pt x="1443" y="246"/>
              </a:cubicBezTo>
              <a:cubicBezTo>
                <a:pt x="1614" y="246"/>
                <a:pt x="1614" y="246"/>
                <a:pt x="1614" y="246"/>
              </a:cubicBezTo>
              <a:cubicBezTo>
                <a:pt x="1620" y="246"/>
                <a:pt x="1624" y="248"/>
                <a:pt x="1628" y="252"/>
              </a:cubicBezTo>
              <a:cubicBezTo>
                <a:pt x="1633" y="256"/>
                <a:pt x="1635" y="261"/>
                <a:pt x="1635" y="267"/>
              </a:cubicBezTo>
              <a:cubicBezTo>
                <a:pt x="1635" y="296"/>
                <a:pt x="1635" y="296"/>
                <a:pt x="1635" y="296"/>
              </a:cubicBezTo>
              <a:cubicBezTo>
                <a:pt x="1635" y="301"/>
                <a:pt x="1633" y="306"/>
                <a:pt x="1628" y="310"/>
              </a:cubicBezTo>
              <a:cubicBezTo>
                <a:pt x="1624" y="314"/>
                <a:pt x="1620" y="316"/>
                <a:pt x="1614" y="316"/>
              </a:cubicBezTo>
              <a:cubicBezTo>
                <a:pt x="1443" y="316"/>
                <a:pt x="1443" y="316"/>
                <a:pt x="1443" y="316"/>
              </a:cubicBezTo>
              <a:cubicBezTo>
                <a:pt x="1416" y="316"/>
                <a:pt x="1393" y="307"/>
                <a:pt x="1374" y="288"/>
              </a:cubicBezTo>
              <a:cubicBezTo>
                <a:pt x="1355" y="270"/>
                <a:pt x="1345" y="248"/>
                <a:pt x="1345" y="221"/>
              </a:cubicBezTo>
              <a:cubicBezTo>
                <a:pt x="1345" y="111"/>
                <a:pt x="1345" y="111"/>
                <a:pt x="1345" y="111"/>
              </a:cubicBezTo>
              <a:cubicBezTo>
                <a:pt x="1345" y="85"/>
                <a:pt x="1355" y="62"/>
                <a:pt x="1374" y="44"/>
              </a:cubicBezTo>
              <a:cubicBezTo>
                <a:pt x="1393" y="26"/>
                <a:pt x="1416" y="16"/>
                <a:pt x="1443" y="16"/>
              </a:cubicBezTo>
              <a:cubicBezTo>
                <a:pt x="1614" y="17"/>
                <a:pt x="1614" y="17"/>
                <a:pt x="1614" y="17"/>
              </a:cubicBezTo>
              <a:cubicBezTo>
                <a:pt x="1620" y="17"/>
                <a:pt x="1625" y="19"/>
                <a:pt x="1629" y="22"/>
              </a:cubicBezTo>
              <a:close/>
              <a:moveTo>
                <a:pt x="742" y="44"/>
              </a:moveTo>
              <a:cubicBezTo>
                <a:pt x="761" y="62"/>
                <a:pt x="771" y="85"/>
                <a:pt x="771" y="111"/>
              </a:cubicBezTo>
              <a:cubicBezTo>
                <a:pt x="771" y="221"/>
                <a:pt x="771" y="221"/>
                <a:pt x="771" y="221"/>
              </a:cubicBezTo>
              <a:cubicBezTo>
                <a:pt x="771" y="248"/>
                <a:pt x="761" y="270"/>
                <a:pt x="742" y="288"/>
              </a:cubicBezTo>
              <a:cubicBezTo>
                <a:pt x="723" y="307"/>
                <a:pt x="700" y="316"/>
                <a:pt x="673" y="316"/>
              </a:cubicBezTo>
              <a:cubicBezTo>
                <a:pt x="502" y="316"/>
                <a:pt x="502" y="316"/>
                <a:pt x="502" y="316"/>
              </a:cubicBezTo>
              <a:cubicBezTo>
                <a:pt x="497" y="316"/>
                <a:pt x="492" y="314"/>
                <a:pt x="488" y="310"/>
              </a:cubicBezTo>
              <a:cubicBezTo>
                <a:pt x="484" y="306"/>
                <a:pt x="482" y="301"/>
                <a:pt x="482" y="296"/>
              </a:cubicBezTo>
              <a:cubicBezTo>
                <a:pt x="482" y="267"/>
                <a:pt x="482" y="267"/>
                <a:pt x="482" y="267"/>
              </a:cubicBezTo>
              <a:cubicBezTo>
                <a:pt x="482" y="261"/>
                <a:pt x="484" y="256"/>
                <a:pt x="488" y="252"/>
              </a:cubicBezTo>
              <a:cubicBezTo>
                <a:pt x="492" y="248"/>
                <a:pt x="497" y="246"/>
                <a:pt x="502" y="246"/>
              </a:cubicBezTo>
              <a:cubicBezTo>
                <a:pt x="673" y="246"/>
                <a:pt x="673" y="246"/>
                <a:pt x="673" y="246"/>
              </a:cubicBezTo>
              <a:cubicBezTo>
                <a:pt x="678" y="246"/>
                <a:pt x="683" y="244"/>
                <a:pt x="687" y="239"/>
              </a:cubicBezTo>
              <a:cubicBezTo>
                <a:pt x="691" y="235"/>
                <a:pt x="694" y="229"/>
                <a:pt x="694" y="221"/>
              </a:cubicBezTo>
              <a:cubicBezTo>
                <a:pt x="694" y="201"/>
                <a:pt x="694" y="201"/>
                <a:pt x="694" y="201"/>
              </a:cubicBezTo>
              <a:cubicBezTo>
                <a:pt x="502" y="201"/>
                <a:pt x="502" y="201"/>
                <a:pt x="502" y="201"/>
              </a:cubicBezTo>
              <a:cubicBezTo>
                <a:pt x="497" y="201"/>
                <a:pt x="492" y="199"/>
                <a:pt x="488" y="195"/>
              </a:cubicBezTo>
              <a:cubicBezTo>
                <a:pt x="484" y="191"/>
                <a:pt x="482" y="186"/>
                <a:pt x="482" y="181"/>
              </a:cubicBezTo>
              <a:cubicBezTo>
                <a:pt x="482" y="151"/>
                <a:pt x="482" y="151"/>
                <a:pt x="482" y="151"/>
              </a:cubicBezTo>
              <a:cubicBezTo>
                <a:pt x="482" y="145"/>
                <a:pt x="484" y="141"/>
                <a:pt x="488" y="137"/>
              </a:cubicBezTo>
              <a:cubicBezTo>
                <a:pt x="492" y="133"/>
                <a:pt x="497" y="131"/>
                <a:pt x="502" y="131"/>
              </a:cubicBezTo>
              <a:cubicBezTo>
                <a:pt x="694" y="131"/>
                <a:pt x="694" y="131"/>
                <a:pt x="694" y="131"/>
              </a:cubicBezTo>
              <a:cubicBezTo>
                <a:pt x="694" y="111"/>
                <a:pt x="694" y="111"/>
                <a:pt x="694" y="111"/>
              </a:cubicBezTo>
              <a:cubicBezTo>
                <a:pt x="694" y="104"/>
                <a:pt x="691" y="98"/>
                <a:pt x="687" y="93"/>
              </a:cubicBezTo>
              <a:cubicBezTo>
                <a:pt x="683" y="88"/>
                <a:pt x="678" y="86"/>
                <a:pt x="673" y="86"/>
              </a:cubicBezTo>
              <a:cubicBezTo>
                <a:pt x="502" y="86"/>
                <a:pt x="502" y="86"/>
                <a:pt x="502" y="86"/>
              </a:cubicBezTo>
              <a:cubicBezTo>
                <a:pt x="496" y="86"/>
                <a:pt x="492" y="84"/>
                <a:pt x="487" y="80"/>
              </a:cubicBezTo>
              <a:cubicBezTo>
                <a:pt x="483" y="76"/>
                <a:pt x="481" y="71"/>
                <a:pt x="481" y="66"/>
              </a:cubicBezTo>
              <a:cubicBezTo>
                <a:pt x="481" y="37"/>
                <a:pt x="481" y="37"/>
                <a:pt x="481" y="37"/>
              </a:cubicBezTo>
              <a:cubicBezTo>
                <a:pt x="481" y="31"/>
                <a:pt x="483" y="26"/>
                <a:pt x="487" y="22"/>
              </a:cubicBezTo>
              <a:cubicBezTo>
                <a:pt x="492" y="19"/>
                <a:pt x="496" y="17"/>
                <a:pt x="502" y="17"/>
              </a:cubicBezTo>
              <a:cubicBezTo>
                <a:pt x="673" y="16"/>
                <a:pt x="673" y="16"/>
                <a:pt x="673" y="16"/>
              </a:cubicBezTo>
              <a:cubicBezTo>
                <a:pt x="700" y="16"/>
                <a:pt x="723" y="26"/>
                <a:pt x="742" y="44"/>
              </a:cubicBezTo>
              <a:close/>
            </a:path>
          </a:pathLst>
        </a:custGeom>
        <a:solidFill>
          <a:srgbClr val="E6332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editAs="oneCell">
    <xdr:from>
      <xdr:col>16</xdr:col>
      <xdr:colOff>254000</xdr:colOff>
      <xdr:row>5</xdr:row>
      <xdr:rowOff>23090</xdr:rowOff>
    </xdr:from>
    <xdr:to>
      <xdr:col>31</xdr:col>
      <xdr:colOff>242945</xdr:colOff>
      <xdr:row>33</xdr:row>
      <xdr:rowOff>11546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9929091" y="785090"/>
          <a:ext cx="9340763" cy="4064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7</xdr:row>
          <xdr:rowOff>7620</xdr:rowOff>
        </xdr:from>
        <xdr:to>
          <xdr:col>11</xdr:col>
          <xdr:colOff>144780</xdr:colOff>
          <xdr:row>13</xdr:row>
          <xdr:rowOff>0</xdr:rowOff>
        </xdr:to>
        <xdr:sp macro="" textlink="">
          <xdr:nvSpPr>
            <xdr:cNvPr id="1032" name="Group Box 8" descr=" "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144780</xdr:rowOff>
        </xdr:from>
        <xdr:to>
          <xdr:col>5</xdr:col>
          <xdr:colOff>495300</xdr:colOff>
          <xdr:row>11</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Voorgeprogrammeerde waarden gebruiken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45720</xdr:rowOff>
        </xdr:from>
        <xdr:to>
          <xdr:col>5</xdr:col>
          <xdr:colOff>518160</xdr:colOff>
          <xdr:row>12</xdr:row>
          <xdr:rowOff>114300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Zelf invullen</a:t>
              </a:r>
            </a:p>
          </xdr:txBody>
        </xdr:sp>
        <xdr:clientData/>
      </xdr:twoCellAnchor>
    </mc:Choice>
    <mc:Fallback/>
  </mc:AlternateContent>
  <xdr:twoCellAnchor editAs="oneCell">
    <xdr:from>
      <xdr:col>1</xdr:col>
      <xdr:colOff>144011</xdr:colOff>
      <xdr:row>50</xdr:row>
      <xdr:rowOff>65678</xdr:rowOff>
    </xdr:from>
    <xdr:to>
      <xdr:col>4</xdr:col>
      <xdr:colOff>3316825</xdr:colOff>
      <xdr:row>65</xdr:row>
      <xdr:rowOff>99802</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133449</xdr:colOff>
      <xdr:row>50</xdr:row>
      <xdr:rowOff>65678</xdr:rowOff>
    </xdr:from>
    <xdr:to>
      <xdr:col>9</xdr:col>
      <xdr:colOff>965969</xdr:colOff>
      <xdr:row>65</xdr:row>
      <xdr:rowOff>99802</xdr:rowOff>
    </xdr:to>
    <xdr:graphicFrame macro="">
      <xdr:nvGraphicFramePr>
        <xdr:cNvPr id="11" name="Chart 10">
          <a:extLst>
            <a:ext uri="{FF2B5EF4-FFF2-40B4-BE49-F238E27FC236}">
              <a16:creationId xmlns:a16="http://schemas.microsoft.com/office/drawing/2014/main" id="{00000000-0008-0000-0100-00000B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1248464</xdr:colOff>
      <xdr:row>50</xdr:row>
      <xdr:rowOff>65677</xdr:rowOff>
    </xdr:from>
    <xdr:to>
      <xdr:col>15</xdr:col>
      <xdr:colOff>668361</xdr:colOff>
      <xdr:row>65</xdr:row>
      <xdr:rowOff>104770</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950856</xdr:colOff>
      <xdr:row>50</xdr:row>
      <xdr:rowOff>65678</xdr:rowOff>
    </xdr:from>
    <xdr:to>
      <xdr:col>19</xdr:col>
      <xdr:colOff>223269</xdr:colOff>
      <xdr:row>65</xdr:row>
      <xdr:rowOff>104771</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9</xdr:col>
          <xdr:colOff>502920</xdr:colOff>
          <xdr:row>34</xdr:row>
          <xdr:rowOff>15240</xdr:rowOff>
        </xdr:from>
        <xdr:to>
          <xdr:col>9</xdr:col>
          <xdr:colOff>1706880</xdr:colOff>
          <xdr:row>37</xdr:row>
          <xdr:rowOff>22860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1234440</xdr:colOff>
          <xdr:row>34</xdr:row>
          <xdr:rowOff>7620</xdr:rowOff>
        </xdr:from>
        <xdr:to>
          <xdr:col>9</xdr:col>
          <xdr:colOff>2209800</xdr:colOff>
          <xdr:row>37</xdr:row>
          <xdr:rowOff>22860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Nee</a:t>
              </a:r>
            </a:p>
          </xdr:txBody>
        </xdr:sp>
        <xdr:clientData/>
      </xdr:twoCellAnchor>
    </mc:Choice>
    <mc:Fallback/>
  </mc:AlternateContent>
  <xdr:twoCellAnchor>
    <xdr:from>
      <xdr:col>5</xdr:col>
      <xdr:colOff>147189</xdr:colOff>
      <xdr:row>69</xdr:row>
      <xdr:rowOff>139992</xdr:rowOff>
    </xdr:from>
    <xdr:to>
      <xdr:col>9</xdr:col>
      <xdr:colOff>915166</xdr:colOff>
      <xdr:row>99</xdr:row>
      <xdr:rowOff>139992</xdr:rowOff>
    </xdr:to>
    <xdr:graphicFrame macro="">
      <xdr:nvGraphicFramePr>
        <xdr:cNvPr id="23" name="Chart 22">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119529</xdr:colOff>
      <xdr:row>69</xdr:row>
      <xdr:rowOff>139992</xdr:rowOff>
    </xdr:from>
    <xdr:to>
      <xdr:col>4</xdr:col>
      <xdr:colOff>3322917</xdr:colOff>
      <xdr:row>99</xdr:row>
      <xdr:rowOff>139992</xdr:rowOff>
    </xdr:to>
    <xdr:graphicFrame macro="">
      <xdr:nvGraphicFramePr>
        <xdr:cNvPr id="24" name="Chart 23">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1205791</xdr:colOff>
      <xdr:row>69</xdr:row>
      <xdr:rowOff>139992</xdr:rowOff>
    </xdr:from>
    <xdr:to>
      <xdr:col>15</xdr:col>
      <xdr:colOff>644002</xdr:colOff>
      <xdr:row>99</xdr:row>
      <xdr:rowOff>139992</xdr:rowOff>
    </xdr:to>
    <xdr:graphicFrame macro="">
      <xdr:nvGraphicFramePr>
        <xdr:cNvPr id="25" name="Chart 24">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934628</xdr:colOff>
      <xdr:row>69</xdr:row>
      <xdr:rowOff>139992</xdr:rowOff>
    </xdr:from>
    <xdr:to>
      <xdr:col>19</xdr:col>
      <xdr:colOff>223428</xdr:colOff>
      <xdr:row>99</xdr:row>
      <xdr:rowOff>139992</xdr:rowOff>
    </xdr:to>
    <xdr:graphicFrame macro="">
      <xdr:nvGraphicFramePr>
        <xdr:cNvPr id="26" name="Chart 25">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996578</xdr:colOff>
      <xdr:row>104</xdr:row>
      <xdr:rowOff>31751</xdr:rowOff>
    </xdr:from>
    <xdr:to>
      <xdr:col>8</xdr:col>
      <xdr:colOff>8633</xdr:colOff>
      <xdr:row>107</xdr:row>
      <xdr:rowOff>127001</xdr:rowOff>
    </xdr:to>
    <xdr:grpSp>
      <xdr:nvGrpSpPr>
        <xdr:cNvPr id="15" name="Graphic 3">
          <a:extLst>
            <a:ext uri="{FF2B5EF4-FFF2-40B4-BE49-F238E27FC236}">
              <a16:creationId xmlns:a16="http://schemas.microsoft.com/office/drawing/2014/main" id="{00000000-0008-0000-0100-00000F000000}"/>
            </a:ext>
          </a:extLst>
        </xdr:cNvPr>
        <xdr:cNvGrpSpPr/>
      </xdr:nvGrpSpPr>
      <xdr:grpSpPr>
        <a:xfrm>
          <a:off x="7462692" y="16284122"/>
          <a:ext cx="361884" cy="552450"/>
          <a:chOff x="3990553" y="4687237"/>
          <a:chExt cx="379049" cy="574473"/>
        </a:xfrm>
        <a:solidFill>
          <a:srgbClr val="3C3C3B"/>
        </a:solidFill>
      </xdr:grpSpPr>
      <xdr:sp macro="" textlink="">
        <xdr:nvSpPr>
          <xdr:cNvPr id="16" name="Vrije vorm 107">
            <a:extLst>
              <a:ext uri="{FF2B5EF4-FFF2-40B4-BE49-F238E27FC236}">
                <a16:creationId xmlns:a16="http://schemas.microsoft.com/office/drawing/2014/main" id="{00000000-0008-0000-0100-000010000000}"/>
              </a:ext>
            </a:extLst>
          </xdr:cNvPr>
          <xdr:cNvSpPr/>
        </xdr:nvSpPr>
        <xdr:spPr>
          <a:xfrm>
            <a:off x="4220560" y="4687237"/>
            <a:ext cx="149042" cy="339966"/>
          </a:xfrm>
          <a:custGeom>
            <a:avLst/>
            <a:gdLst>
              <a:gd name="connsiteX0" fmla="*/ 146257 w 149042"/>
              <a:gd name="connsiteY0" fmla="*/ 18039 h 339966"/>
              <a:gd name="connsiteX1" fmla="*/ 103076 w 149042"/>
              <a:gd name="connsiteY1" fmla="*/ 0 h 339966"/>
              <a:gd name="connsiteX2" fmla="*/ 58503 w 149042"/>
              <a:gd name="connsiteY2" fmla="*/ 19427 h 339966"/>
              <a:gd name="connsiteX3" fmla="*/ 5572 w 149042"/>
              <a:gd name="connsiteY3" fmla="*/ 19427 h 339966"/>
              <a:gd name="connsiteX4" fmla="*/ 5572 w 149042"/>
              <a:gd name="connsiteY4" fmla="*/ 19427 h 339966"/>
              <a:gd name="connsiteX5" fmla="*/ 4179 w 149042"/>
              <a:gd name="connsiteY5" fmla="*/ 19427 h 339966"/>
              <a:gd name="connsiteX6" fmla="*/ 2786 w 149042"/>
              <a:gd name="connsiteY6" fmla="*/ 20814 h 339966"/>
              <a:gd name="connsiteX7" fmla="*/ 1393 w 149042"/>
              <a:gd name="connsiteY7" fmla="*/ 22202 h 339966"/>
              <a:gd name="connsiteX8" fmla="*/ 0 w 149042"/>
              <a:gd name="connsiteY8" fmla="*/ 24977 h 339966"/>
              <a:gd name="connsiteX9" fmla="*/ 0 w 149042"/>
              <a:gd name="connsiteY9" fmla="*/ 26365 h 339966"/>
              <a:gd name="connsiteX10" fmla="*/ 0 w 149042"/>
              <a:gd name="connsiteY10" fmla="*/ 26365 h 339966"/>
              <a:gd name="connsiteX11" fmla="*/ 0 w 149042"/>
              <a:gd name="connsiteY11" fmla="*/ 29140 h 339966"/>
              <a:gd name="connsiteX12" fmla="*/ 0 w 149042"/>
              <a:gd name="connsiteY12" fmla="*/ 30528 h 339966"/>
              <a:gd name="connsiteX13" fmla="*/ 2786 w 149042"/>
              <a:gd name="connsiteY13" fmla="*/ 33303 h 339966"/>
              <a:gd name="connsiteX14" fmla="*/ 57110 w 149042"/>
              <a:gd name="connsiteY14" fmla="*/ 87420 h 339966"/>
              <a:gd name="connsiteX15" fmla="*/ 59896 w 149042"/>
              <a:gd name="connsiteY15" fmla="*/ 90195 h 339966"/>
              <a:gd name="connsiteX16" fmla="*/ 64075 w 149042"/>
              <a:gd name="connsiteY16" fmla="*/ 91583 h 339966"/>
              <a:gd name="connsiteX17" fmla="*/ 65467 w 149042"/>
              <a:gd name="connsiteY17" fmla="*/ 91583 h 339966"/>
              <a:gd name="connsiteX18" fmla="*/ 66860 w 149042"/>
              <a:gd name="connsiteY18" fmla="*/ 91583 h 339966"/>
              <a:gd name="connsiteX19" fmla="*/ 69646 w 149042"/>
              <a:gd name="connsiteY19" fmla="*/ 90195 h 339966"/>
              <a:gd name="connsiteX20" fmla="*/ 71039 w 149042"/>
              <a:gd name="connsiteY20" fmla="*/ 88808 h 339966"/>
              <a:gd name="connsiteX21" fmla="*/ 72432 w 149042"/>
              <a:gd name="connsiteY21" fmla="*/ 87420 h 339966"/>
              <a:gd name="connsiteX22" fmla="*/ 72432 w 149042"/>
              <a:gd name="connsiteY22" fmla="*/ 86032 h 339966"/>
              <a:gd name="connsiteX23" fmla="*/ 72432 w 149042"/>
              <a:gd name="connsiteY23" fmla="*/ 86032 h 339966"/>
              <a:gd name="connsiteX24" fmla="*/ 72432 w 149042"/>
              <a:gd name="connsiteY24" fmla="*/ 33303 h 339966"/>
              <a:gd name="connsiteX25" fmla="*/ 103076 w 149042"/>
              <a:gd name="connsiteY25" fmla="*/ 19427 h 339966"/>
              <a:gd name="connsiteX26" fmla="*/ 129542 w 149042"/>
              <a:gd name="connsiteY26" fmla="*/ 29140 h 339966"/>
              <a:gd name="connsiteX27" fmla="*/ 129542 w 149042"/>
              <a:gd name="connsiteY27" fmla="*/ 294175 h 339966"/>
              <a:gd name="connsiteX28" fmla="*/ 110041 w 149042"/>
              <a:gd name="connsiteY28" fmla="*/ 294175 h 339966"/>
              <a:gd name="connsiteX29" fmla="*/ 110041 w 149042"/>
              <a:gd name="connsiteY29" fmla="*/ 278911 h 339966"/>
              <a:gd name="connsiteX30" fmla="*/ 100291 w 149042"/>
              <a:gd name="connsiteY30" fmla="*/ 269198 h 339966"/>
              <a:gd name="connsiteX31" fmla="*/ 90540 w 149042"/>
              <a:gd name="connsiteY31" fmla="*/ 278911 h 339966"/>
              <a:gd name="connsiteX32" fmla="*/ 90540 w 149042"/>
              <a:gd name="connsiteY32" fmla="*/ 330253 h 339966"/>
              <a:gd name="connsiteX33" fmla="*/ 100291 w 149042"/>
              <a:gd name="connsiteY33" fmla="*/ 339966 h 339966"/>
              <a:gd name="connsiteX34" fmla="*/ 110041 w 149042"/>
              <a:gd name="connsiteY34" fmla="*/ 330253 h 339966"/>
              <a:gd name="connsiteX35" fmla="*/ 110041 w 149042"/>
              <a:gd name="connsiteY35" fmla="*/ 313602 h 339966"/>
              <a:gd name="connsiteX36" fmla="*/ 139292 w 149042"/>
              <a:gd name="connsiteY36" fmla="*/ 313602 h 339966"/>
              <a:gd name="connsiteX37" fmla="*/ 149043 w 149042"/>
              <a:gd name="connsiteY37" fmla="*/ 303888 h 339966"/>
              <a:gd name="connsiteX38" fmla="*/ 149043 w 149042"/>
              <a:gd name="connsiteY38" fmla="*/ 24977 h 339966"/>
              <a:gd name="connsiteX39" fmla="*/ 146257 w 149042"/>
              <a:gd name="connsiteY39" fmla="*/ 18039 h 339966"/>
              <a:gd name="connsiteX40" fmla="*/ 54324 w 149042"/>
              <a:gd name="connsiteY40" fmla="*/ 40241 h 339966"/>
              <a:gd name="connsiteX41" fmla="*/ 54324 w 149042"/>
              <a:gd name="connsiteY41" fmla="*/ 40241 h 339966"/>
              <a:gd name="connsiteX42" fmla="*/ 62682 w 149042"/>
              <a:gd name="connsiteY42" fmla="*/ 63830 h 339966"/>
              <a:gd name="connsiteX43" fmla="*/ 30644 w 149042"/>
              <a:gd name="connsiteY43" fmla="*/ 31915 h 339966"/>
              <a:gd name="connsiteX44" fmla="*/ 54324 w 149042"/>
              <a:gd name="connsiteY44" fmla="*/ 40241 h 339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Lst>
            <a:rect l="l" t="t" r="r" b="b"/>
            <a:pathLst>
              <a:path w="149042" h="339966">
                <a:moveTo>
                  <a:pt x="146257" y="18039"/>
                </a:moveTo>
                <a:cubicBezTo>
                  <a:pt x="135114" y="6938"/>
                  <a:pt x="119792" y="0"/>
                  <a:pt x="103076" y="0"/>
                </a:cubicBezTo>
                <a:cubicBezTo>
                  <a:pt x="86361" y="0"/>
                  <a:pt x="69646" y="6938"/>
                  <a:pt x="58503" y="19427"/>
                </a:cubicBezTo>
                <a:cubicBezTo>
                  <a:pt x="43181" y="9713"/>
                  <a:pt x="22287" y="8326"/>
                  <a:pt x="5572" y="19427"/>
                </a:cubicBezTo>
                <a:cubicBezTo>
                  <a:pt x="5572" y="19427"/>
                  <a:pt x="5572" y="19427"/>
                  <a:pt x="5572" y="19427"/>
                </a:cubicBezTo>
                <a:cubicBezTo>
                  <a:pt x="5572" y="19427"/>
                  <a:pt x="5572" y="19427"/>
                  <a:pt x="4179" y="19427"/>
                </a:cubicBezTo>
                <a:cubicBezTo>
                  <a:pt x="4179" y="19427"/>
                  <a:pt x="4179" y="20814"/>
                  <a:pt x="2786" y="20814"/>
                </a:cubicBezTo>
                <a:cubicBezTo>
                  <a:pt x="2786" y="20814"/>
                  <a:pt x="2786" y="22202"/>
                  <a:pt x="1393" y="22202"/>
                </a:cubicBezTo>
                <a:cubicBezTo>
                  <a:pt x="1393" y="23590"/>
                  <a:pt x="1393" y="23590"/>
                  <a:pt x="0" y="24977"/>
                </a:cubicBezTo>
                <a:cubicBezTo>
                  <a:pt x="0" y="24977"/>
                  <a:pt x="0" y="24977"/>
                  <a:pt x="0" y="26365"/>
                </a:cubicBezTo>
                <a:cubicBezTo>
                  <a:pt x="0" y="26365"/>
                  <a:pt x="0" y="26365"/>
                  <a:pt x="0" y="26365"/>
                </a:cubicBezTo>
                <a:cubicBezTo>
                  <a:pt x="0" y="27752"/>
                  <a:pt x="0" y="27752"/>
                  <a:pt x="0" y="29140"/>
                </a:cubicBezTo>
                <a:cubicBezTo>
                  <a:pt x="0" y="29140"/>
                  <a:pt x="0" y="30528"/>
                  <a:pt x="0" y="30528"/>
                </a:cubicBezTo>
                <a:cubicBezTo>
                  <a:pt x="0" y="31915"/>
                  <a:pt x="1393" y="33303"/>
                  <a:pt x="2786" y="33303"/>
                </a:cubicBezTo>
                <a:lnTo>
                  <a:pt x="57110" y="87420"/>
                </a:lnTo>
                <a:cubicBezTo>
                  <a:pt x="58503" y="88808"/>
                  <a:pt x="58503" y="88808"/>
                  <a:pt x="59896" y="90195"/>
                </a:cubicBezTo>
                <a:cubicBezTo>
                  <a:pt x="61289" y="90195"/>
                  <a:pt x="62682" y="91583"/>
                  <a:pt x="64075" y="91583"/>
                </a:cubicBezTo>
                <a:cubicBezTo>
                  <a:pt x="64075" y="91583"/>
                  <a:pt x="65467" y="91583"/>
                  <a:pt x="65467" y="91583"/>
                </a:cubicBezTo>
                <a:cubicBezTo>
                  <a:pt x="65467" y="91583"/>
                  <a:pt x="65467" y="91583"/>
                  <a:pt x="66860" y="91583"/>
                </a:cubicBezTo>
                <a:cubicBezTo>
                  <a:pt x="68253" y="91583"/>
                  <a:pt x="68253" y="91583"/>
                  <a:pt x="69646" y="90195"/>
                </a:cubicBezTo>
                <a:cubicBezTo>
                  <a:pt x="69646" y="90195"/>
                  <a:pt x="71039" y="90195"/>
                  <a:pt x="71039" y="88808"/>
                </a:cubicBezTo>
                <a:cubicBezTo>
                  <a:pt x="71039" y="88808"/>
                  <a:pt x="72432" y="88808"/>
                  <a:pt x="72432" y="87420"/>
                </a:cubicBezTo>
                <a:cubicBezTo>
                  <a:pt x="72432" y="87420"/>
                  <a:pt x="72432" y="87420"/>
                  <a:pt x="72432" y="86032"/>
                </a:cubicBezTo>
                <a:cubicBezTo>
                  <a:pt x="72432" y="86032"/>
                  <a:pt x="72432" y="86032"/>
                  <a:pt x="72432" y="86032"/>
                </a:cubicBezTo>
                <a:cubicBezTo>
                  <a:pt x="83575" y="69381"/>
                  <a:pt x="82182" y="48567"/>
                  <a:pt x="72432" y="33303"/>
                </a:cubicBezTo>
                <a:cubicBezTo>
                  <a:pt x="80790" y="24977"/>
                  <a:pt x="90540" y="19427"/>
                  <a:pt x="103076" y="19427"/>
                </a:cubicBezTo>
                <a:cubicBezTo>
                  <a:pt x="112827" y="19427"/>
                  <a:pt x="122577" y="22202"/>
                  <a:pt x="129542" y="29140"/>
                </a:cubicBezTo>
                <a:lnTo>
                  <a:pt x="129542" y="294175"/>
                </a:lnTo>
                <a:lnTo>
                  <a:pt x="110041" y="294175"/>
                </a:lnTo>
                <a:lnTo>
                  <a:pt x="110041" y="278911"/>
                </a:lnTo>
                <a:cubicBezTo>
                  <a:pt x="110041" y="273361"/>
                  <a:pt x="105862" y="269198"/>
                  <a:pt x="100291" y="269198"/>
                </a:cubicBezTo>
                <a:cubicBezTo>
                  <a:pt x="94719" y="269198"/>
                  <a:pt x="90540" y="273361"/>
                  <a:pt x="90540" y="278911"/>
                </a:cubicBezTo>
                <a:lnTo>
                  <a:pt x="90540" y="330253"/>
                </a:lnTo>
                <a:cubicBezTo>
                  <a:pt x="90540" y="335804"/>
                  <a:pt x="94719" y="339966"/>
                  <a:pt x="100291" y="339966"/>
                </a:cubicBezTo>
                <a:cubicBezTo>
                  <a:pt x="105862" y="339966"/>
                  <a:pt x="110041" y="335804"/>
                  <a:pt x="110041" y="330253"/>
                </a:cubicBezTo>
                <a:lnTo>
                  <a:pt x="110041" y="313602"/>
                </a:lnTo>
                <a:lnTo>
                  <a:pt x="139292" y="313602"/>
                </a:lnTo>
                <a:cubicBezTo>
                  <a:pt x="144864" y="313602"/>
                  <a:pt x="149043" y="309439"/>
                  <a:pt x="149043" y="303888"/>
                </a:cubicBezTo>
                <a:lnTo>
                  <a:pt x="149043" y="24977"/>
                </a:lnTo>
                <a:cubicBezTo>
                  <a:pt x="149043" y="22202"/>
                  <a:pt x="147650" y="19427"/>
                  <a:pt x="146257" y="18039"/>
                </a:cubicBezTo>
                <a:close/>
                <a:moveTo>
                  <a:pt x="54324" y="40241"/>
                </a:moveTo>
                <a:lnTo>
                  <a:pt x="54324" y="40241"/>
                </a:lnTo>
                <a:cubicBezTo>
                  <a:pt x="59896" y="47179"/>
                  <a:pt x="62682" y="55505"/>
                  <a:pt x="62682" y="63830"/>
                </a:cubicBezTo>
                <a:lnTo>
                  <a:pt x="30644" y="31915"/>
                </a:lnTo>
                <a:cubicBezTo>
                  <a:pt x="37609" y="30528"/>
                  <a:pt x="47359" y="33303"/>
                  <a:pt x="54324" y="40241"/>
                </a:cubicBezTo>
                <a:close/>
              </a:path>
            </a:pathLst>
          </a:custGeom>
          <a:solidFill>
            <a:srgbClr val="3C3C3B"/>
          </a:solidFill>
          <a:ln w="13920" cap="flat">
            <a:noFill/>
            <a:prstDash val="solid"/>
            <a:miter/>
          </a:ln>
        </xdr:spPr>
        <xdr:txBody>
          <a:bodyPr wrap="square" rtlCol="0" anchor="ct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l-NL"/>
          </a:p>
        </xdr:txBody>
      </xdr:sp>
      <xdr:sp macro="" textlink="">
        <xdr:nvSpPr>
          <xdr:cNvPr id="17" name="Vrije vorm 283">
            <a:extLst>
              <a:ext uri="{FF2B5EF4-FFF2-40B4-BE49-F238E27FC236}">
                <a16:creationId xmlns:a16="http://schemas.microsoft.com/office/drawing/2014/main" id="{00000000-0008-0000-0100-000011000000}"/>
              </a:ext>
            </a:extLst>
          </xdr:cNvPr>
          <xdr:cNvSpPr/>
        </xdr:nvSpPr>
        <xdr:spPr>
          <a:xfrm>
            <a:off x="4183996" y="4734069"/>
            <a:ext cx="34126" cy="33649"/>
          </a:xfrm>
          <a:custGeom>
            <a:avLst/>
            <a:gdLst>
              <a:gd name="connsiteX0" fmla="*/ 10099 w 34126"/>
              <a:gd name="connsiteY0" fmla="*/ 33650 h 33649"/>
              <a:gd name="connsiteX1" fmla="*/ 17063 w 34126"/>
              <a:gd name="connsiteY1" fmla="*/ 30875 h 33649"/>
              <a:gd name="connsiteX2" fmla="*/ 30993 w 34126"/>
              <a:gd name="connsiteY2" fmla="*/ 16998 h 33649"/>
              <a:gd name="connsiteX3" fmla="*/ 30993 w 34126"/>
              <a:gd name="connsiteY3" fmla="*/ 3122 h 33649"/>
              <a:gd name="connsiteX4" fmla="*/ 17063 w 34126"/>
              <a:gd name="connsiteY4" fmla="*/ 3122 h 33649"/>
              <a:gd name="connsiteX5" fmla="*/ 3134 w 34126"/>
              <a:gd name="connsiteY5" fmla="*/ 16998 h 33649"/>
              <a:gd name="connsiteX6" fmla="*/ 3134 w 34126"/>
              <a:gd name="connsiteY6" fmla="*/ 30875 h 33649"/>
              <a:gd name="connsiteX7" fmla="*/ 10099 w 34126"/>
              <a:gd name="connsiteY7" fmla="*/ 33650 h 336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4126" h="33649">
                <a:moveTo>
                  <a:pt x="10099" y="33650"/>
                </a:moveTo>
                <a:cubicBezTo>
                  <a:pt x="12885" y="33650"/>
                  <a:pt x="15670" y="32262"/>
                  <a:pt x="17063" y="30875"/>
                </a:cubicBezTo>
                <a:lnTo>
                  <a:pt x="30993" y="16998"/>
                </a:lnTo>
                <a:cubicBezTo>
                  <a:pt x="35171" y="12835"/>
                  <a:pt x="35171" y="7285"/>
                  <a:pt x="30993" y="3122"/>
                </a:cubicBezTo>
                <a:cubicBezTo>
                  <a:pt x="26814" y="-1041"/>
                  <a:pt x="21242" y="-1041"/>
                  <a:pt x="17063" y="3122"/>
                </a:cubicBezTo>
                <a:lnTo>
                  <a:pt x="3134" y="16998"/>
                </a:lnTo>
                <a:cubicBezTo>
                  <a:pt x="-1045" y="21161"/>
                  <a:pt x="-1045" y="26712"/>
                  <a:pt x="3134" y="30875"/>
                </a:cubicBezTo>
                <a:cubicBezTo>
                  <a:pt x="4527" y="33650"/>
                  <a:pt x="7313" y="33650"/>
                  <a:pt x="10099" y="33650"/>
                </a:cubicBezTo>
                <a:close/>
              </a:path>
            </a:pathLst>
          </a:custGeom>
          <a:solidFill>
            <a:srgbClr val="3C3C3B"/>
          </a:solidFill>
          <a:ln w="13920" cap="flat">
            <a:noFill/>
            <a:prstDash val="solid"/>
            <a:miter/>
          </a:ln>
        </xdr:spPr>
        <xdr:txBody>
          <a:bodyPr wrap="square" rtlCol="0" anchor="ct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l-NL"/>
          </a:p>
        </xdr:txBody>
      </xdr:sp>
      <xdr:sp macro="" textlink="">
        <xdr:nvSpPr>
          <xdr:cNvPr id="18" name="Vrije vorm 284">
            <a:extLst>
              <a:ext uri="{FF2B5EF4-FFF2-40B4-BE49-F238E27FC236}">
                <a16:creationId xmlns:a16="http://schemas.microsoft.com/office/drawing/2014/main" id="{00000000-0008-0000-0100-000012000000}"/>
              </a:ext>
            </a:extLst>
          </xdr:cNvPr>
          <xdr:cNvSpPr/>
        </xdr:nvSpPr>
        <xdr:spPr>
          <a:xfrm>
            <a:off x="4209068" y="4760928"/>
            <a:ext cx="34126" cy="33154"/>
          </a:xfrm>
          <a:custGeom>
            <a:avLst/>
            <a:gdLst>
              <a:gd name="connsiteX0" fmla="*/ 17063 w 34126"/>
              <a:gd name="connsiteY0" fmla="*/ 2627 h 33154"/>
              <a:gd name="connsiteX1" fmla="*/ 3134 w 34126"/>
              <a:gd name="connsiteY1" fmla="*/ 16503 h 33154"/>
              <a:gd name="connsiteX2" fmla="*/ 3134 w 34126"/>
              <a:gd name="connsiteY2" fmla="*/ 30380 h 33154"/>
              <a:gd name="connsiteX3" fmla="*/ 10099 w 34126"/>
              <a:gd name="connsiteY3" fmla="*/ 33155 h 33154"/>
              <a:gd name="connsiteX4" fmla="*/ 17063 w 34126"/>
              <a:gd name="connsiteY4" fmla="*/ 30380 h 33154"/>
              <a:gd name="connsiteX5" fmla="*/ 30992 w 34126"/>
              <a:gd name="connsiteY5" fmla="*/ 16503 h 33154"/>
              <a:gd name="connsiteX6" fmla="*/ 30992 w 34126"/>
              <a:gd name="connsiteY6" fmla="*/ 2627 h 33154"/>
              <a:gd name="connsiteX7" fmla="*/ 17063 w 34126"/>
              <a:gd name="connsiteY7" fmla="*/ 2627 h 331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4126" h="33154">
                <a:moveTo>
                  <a:pt x="17063" y="2627"/>
                </a:moveTo>
                <a:lnTo>
                  <a:pt x="3134" y="16503"/>
                </a:lnTo>
                <a:cubicBezTo>
                  <a:pt x="-1045" y="20666"/>
                  <a:pt x="-1045" y="26217"/>
                  <a:pt x="3134" y="30380"/>
                </a:cubicBezTo>
                <a:cubicBezTo>
                  <a:pt x="4527" y="31767"/>
                  <a:pt x="7313" y="33155"/>
                  <a:pt x="10099" y="33155"/>
                </a:cubicBezTo>
                <a:cubicBezTo>
                  <a:pt x="12885" y="33155"/>
                  <a:pt x="15670" y="31767"/>
                  <a:pt x="17063" y="30380"/>
                </a:cubicBezTo>
                <a:lnTo>
                  <a:pt x="30992" y="16503"/>
                </a:lnTo>
                <a:cubicBezTo>
                  <a:pt x="35171" y="12341"/>
                  <a:pt x="35171" y="6790"/>
                  <a:pt x="30992" y="2627"/>
                </a:cubicBezTo>
                <a:cubicBezTo>
                  <a:pt x="26814" y="-1536"/>
                  <a:pt x="21242" y="-148"/>
                  <a:pt x="17063" y="2627"/>
                </a:cubicBezTo>
                <a:close/>
              </a:path>
            </a:pathLst>
          </a:custGeom>
          <a:solidFill>
            <a:srgbClr val="3C3C3B"/>
          </a:solidFill>
          <a:ln w="13920" cap="flat">
            <a:noFill/>
            <a:prstDash val="solid"/>
            <a:miter/>
          </a:ln>
        </xdr:spPr>
        <xdr:txBody>
          <a:bodyPr wrap="square" rtlCol="0" anchor="ct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l-NL"/>
          </a:p>
        </xdr:txBody>
      </xdr:sp>
      <xdr:sp macro="" textlink="">
        <xdr:nvSpPr>
          <xdr:cNvPr id="19" name="Vrije vorm 285">
            <a:extLst>
              <a:ext uri="{FF2B5EF4-FFF2-40B4-BE49-F238E27FC236}">
                <a16:creationId xmlns:a16="http://schemas.microsoft.com/office/drawing/2014/main" id="{00000000-0008-0000-0100-000013000000}"/>
              </a:ext>
            </a:extLst>
          </xdr:cNvPr>
          <xdr:cNvSpPr/>
        </xdr:nvSpPr>
        <xdr:spPr>
          <a:xfrm>
            <a:off x="4237972" y="4784023"/>
            <a:ext cx="33081" cy="33649"/>
          </a:xfrm>
          <a:custGeom>
            <a:avLst/>
            <a:gdLst>
              <a:gd name="connsiteX0" fmla="*/ 2089 w 33081"/>
              <a:gd name="connsiteY0" fmla="*/ 30875 h 33649"/>
              <a:gd name="connsiteX1" fmla="*/ 9054 w 33081"/>
              <a:gd name="connsiteY1" fmla="*/ 33650 h 33649"/>
              <a:gd name="connsiteX2" fmla="*/ 16019 w 33081"/>
              <a:gd name="connsiteY2" fmla="*/ 30875 h 33649"/>
              <a:gd name="connsiteX3" fmla="*/ 29948 w 33081"/>
              <a:gd name="connsiteY3" fmla="*/ 16998 h 33649"/>
              <a:gd name="connsiteX4" fmla="*/ 29948 w 33081"/>
              <a:gd name="connsiteY4" fmla="*/ 3122 h 33649"/>
              <a:gd name="connsiteX5" fmla="*/ 16019 w 33081"/>
              <a:gd name="connsiteY5" fmla="*/ 3122 h 33649"/>
              <a:gd name="connsiteX6" fmla="*/ 2089 w 33081"/>
              <a:gd name="connsiteY6" fmla="*/ 16998 h 33649"/>
              <a:gd name="connsiteX7" fmla="*/ 2089 w 33081"/>
              <a:gd name="connsiteY7" fmla="*/ 30875 h 336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3081" h="33649">
                <a:moveTo>
                  <a:pt x="2089" y="30875"/>
                </a:moveTo>
                <a:cubicBezTo>
                  <a:pt x="3482" y="32262"/>
                  <a:pt x="6268" y="33650"/>
                  <a:pt x="9054" y="33650"/>
                </a:cubicBezTo>
                <a:cubicBezTo>
                  <a:pt x="11840" y="33650"/>
                  <a:pt x="14626" y="32262"/>
                  <a:pt x="16019" y="30875"/>
                </a:cubicBezTo>
                <a:lnTo>
                  <a:pt x="29948" y="16998"/>
                </a:lnTo>
                <a:cubicBezTo>
                  <a:pt x="34127" y="12835"/>
                  <a:pt x="34127" y="7285"/>
                  <a:pt x="29948" y="3122"/>
                </a:cubicBezTo>
                <a:cubicBezTo>
                  <a:pt x="25769" y="-1041"/>
                  <a:pt x="20197" y="-1041"/>
                  <a:pt x="16019" y="3122"/>
                </a:cubicBezTo>
                <a:lnTo>
                  <a:pt x="2089" y="16998"/>
                </a:lnTo>
                <a:cubicBezTo>
                  <a:pt x="-696" y="21161"/>
                  <a:pt x="-696" y="28099"/>
                  <a:pt x="2089" y="30875"/>
                </a:cubicBezTo>
                <a:close/>
              </a:path>
            </a:pathLst>
          </a:custGeom>
          <a:solidFill>
            <a:srgbClr val="3C3C3B"/>
          </a:solidFill>
          <a:ln w="13920" cap="flat">
            <a:noFill/>
            <a:prstDash val="solid"/>
            <a:miter/>
          </a:ln>
        </xdr:spPr>
        <xdr:txBody>
          <a:bodyPr wrap="square" rtlCol="0" anchor="ct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l-NL"/>
          </a:p>
        </xdr:txBody>
      </xdr:sp>
      <xdr:sp macro="" textlink="">
        <xdr:nvSpPr>
          <xdr:cNvPr id="20" name="Vrije vorm 286">
            <a:extLst>
              <a:ext uri="{FF2B5EF4-FFF2-40B4-BE49-F238E27FC236}">
                <a16:creationId xmlns:a16="http://schemas.microsoft.com/office/drawing/2014/main" id="{00000000-0008-0000-0100-000014000000}"/>
              </a:ext>
            </a:extLst>
          </xdr:cNvPr>
          <xdr:cNvSpPr/>
        </xdr:nvSpPr>
        <xdr:spPr>
          <a:xfrm>
            <a:off x="3990553" y="4716177"/>
            <a:ext cx="376263" cy="545533"/>
          </a:xfrm>
          <a:custGeom>
            <a:avLst/>
            <a:gdLst>
              <a:gd name="connsiteX0" fmla="*/ 192398 w 376263"/>
              <a:gd name="connsiteY0" fmla="*/ 505293 h 545533"/>
              <a:gd name="connsiteX1" fmla="*/ 192398 w 376263"/>
              <a:gd name="connsiteY1" fmla="*/ 438687 h 545533"/>
              <a:gd name="connsiteX2" fmla="*/ 224435 w 376263"/>
              <a:gd name="connsiteY2" fmla="*/ 413710 h 545533"/>
              <a:gd name="connsiteX3" fmla="*/ 243936 w 376263"/>
              <a:gd name="connsiteY3" fmla="*/ 380407 h 545533"/>
              <a:gd name="connsiteX4" fmla="*/ 220256 w 376263"/>
              <a:gd name="connsiteY4" fmla="*/ 355430 h 545533"/>
              <a:gd name="connsiteX5" fmla="*/ 216077 w 376263"/>
              <a:gd name="connsiteY5" fmla="*/ 330453 h 545533"/>
              <a:gd name="connsiteX6" fmla="*/ 193791 w 376263"/>
              <a:gd name="connsiteY6" fmla="*/ 315189 h 545533"/>
              <a:gd name="connsiteX7" fmla="*/ 193791 w 376263"/>
              <a:gd name="connsiteY7" fmla="*/ 299925 h 545533"/>
              <a:gd name="connsiteX8" fmla="*/ 179861 w 376263"/>
              <a:gd name="connsiteY8" fmla="*/ 195854 h 545533"/>
              <a:gd name="connsiteX9" fmla="*/ 220256 w 376263"/>
              <a:gd name="connsiteY9" fmla="*/ 195854 h 545533"/>
              <a:gd name="connsiteX10" fmla="*/ 248115 w 376263"/>
              <a:gd name="connsiteY10" fmla="*/ 180590 h 545533"/>
              <a:gd name="connsiteX11" fmla="*/ 246722 w 376263"/>
              <a:gd name="connsiteY11" fmla="*/ 148675 h 545533"/>
              <a:gd name="connsiteX12" fmla="*/ 200755 w 376263"/>
              <a:gd name="connsiteY12" fmla="*/ 76519 h 545533"/>
              <a:gd name="connsiteX13" fmla="*/ 181254 w 376263"/>
              <a:gd name="connsiteY13" fmla="*/ 62643 h 545533"/>
              <a:gd name="connsiteX14" fmla="*/ 157575 w 376263"/>
              <a:gd name="connsiteY14" fmla="*/ 66806 h 545533"/>
              <a:gd name="connsiteX15" fmla="*/ 149217 w 376263"/>
              <a:gd name="connsiteY15" fmla="*/ 75131 h 545533"/>
              <a:gd name="connsiteX16" fmla="*/ 111608 w 376263"/>
              <a:gd name="connsiteY16" fmla="*/ 44604 h 545533"/>
              <a:gd name="connsiteX17" fmla="*/ 103250 w 376263"/>
              <a:gd name="connsiteY17" fmla="*/ 5750 h 545533"/>
              <a:gd name="connsiteX18" fmla="*/ 60070 w 376263"/>
              <a:gd name="connsiteY18" fmla="*/ 12689 h 545533"/>
              <a:gd name="connsiteX19" fmla="*/ 22461 w 376263"/>
              <a:gd name="connsiteY19" fmla="*/ 64030 h 545533"/>
              <a:gd name="connsiteX20" fmla="*/ 2960 w 376263"/>
              <a:gd name="connsiteY20" fmla="*/ 90395 h 545533"/>
              <a:gd name="connsiteX21" fmla="*/ 1567 w 376263"/>
              <a:gd name="connsiteY21" fmla="*/ 100109 h 545533"/>
              <a:gd name="connsiteX22" fmla="*/ 43355 w 376263"/>
              <a:gd name="connsiteY22" fmla="*/ 180590 h 545533"/>
              <a:gd name="connsiteX23" fmla="*/ 48926 w 376263"/>
              <a:gd name="connsiteY23" fmla="*/ 227769 h 545533"/>
              <a:gd name="connsiteX24" fmla="*/ 21068 w 376263"/>
              <a:gd name="connsiteY24" fmla="*/ 254134 h 545533"/>
              <a:gd name="connsiteX25" fmla="*/ 174 w 376263"/>
              <a:gd name="connsiteY25" fmla="*/ 290212 h 545533"/>
              <a:gd name="connsiteX26" fmla="*/ 26640 w 376263"/>
              <a:gd name="connsiteY26" fmla="*/ 316577 h 545533"/>
              <a:gd name="connsiteX27" fmla="*/ 30818 w 376263"/>
              <a:gd name="connsiteY27" fmla="*/ 344329 h 545533"/>
              <a:gd name="connsiteX28" fmla="*/ 58677 w 376263"/>
              <a:gd name="connsiteY28" fmla="*/ 360981 h 545533"/>
              <a:gd name="connsiteX29" fmla="*/ 58677 w 376263"/>
              <a:gd name="connsiteY29" fmla="*/ 506681 h 545533"/>
              <a:gd name="connsiteX30" fmla="*/ 64249 w 376263"/>
              <a:gd name="connsiteY30" fmla="*/ 526107 h 545533"/>
              <a:gd name="connsiteX31" fmla="*/ 9925 w 376263"/>
              <a:gd name="connsiteY31" fmla="*/ 526107 h 545533"/>
              <a:gd name="connsiteX32" fmla="*/ 9925 w 376263"/>
              <a:gd name="connsiteY32" fmla="*/ 545534 h 545533"/>
              <a:gd name="connsiteX33" fmla="*/ 376264 w 376263"/>
              <a:gd name="connsiteY33" fmla="*/ 545534 h 545533"/>
              <a:gd name="connsiteX34" fmla="*/ 376264 w 376263"/>
              <a:gd name="connsiteY34" fmla="*/ 526107 h 545533"/>
              <a:gd name="connsiteX35" fmla="*/ 188219 w 376263"/>
              <a:gd name="connsiteY35" fmla="*/ 526107 h 545533"/>
              <a:gd name="connsiteX36" fmla="*/ 192398 w 376263"/>
              <a:gd name="connsiteY36" fmla="*/ 505293 h 545533"/>
              <a:gd name="connsiteX37" fmla="*/ 199362 w 376263"/>
              <a:gd name="connsiteY37" fmla="*/ 341554 h 545533"/>
              <a:gd name="connsiteX38" fmla="*/ 197969 w 376263"/>
              <a:gd name="connsiteY38" fmla="*/ 360981 h 545533"/>
              <a:gd name="connsiteX39" fmla="*/ 199362 w 376263"/>
              <a:gd name="connsiteY39" fmla="*/ 370694 h 545533"/>
              <a:gd name="connsiteX40" fmla="*/ 207720 w 376263"/>
              <a:gd name="connsiteY40" fmla="*/ 374857 h 545533"/>
              <a:gd name="connsiteX41" fmla="*/ 224435 w 376263"/>
              <a:gd name="connsiteY41" fmla="*/ 384570 h 545533"/>
              <a:gd name="connsiteX42" fmla="*/ 214684 w 376263"/>
              <a:gd name="connsiteY42" fmla="*/ 398446 h 545533"/>
              <a:gd name="connsiteX43" fmla="*/ 206327 w 376263"/>
              <a:gd name="connsiteY43" fmla="*/ 406772 h 545533"/>
              <a:gd name="connsiteX44" fmla="*/ 192398 w 376263"/>
              <a:gd name="connsiteY44" fmla="*/ 420648 h 545533"/>
              <a:gd name="connsiteX45" fmla="*/ 192398 w 376263"/>
              <a:gd name="connsiteY45" fmla="*/ 337391 h 545533"/>
              <a:gd name="connsiteX46" fmla="*/ 199362 w 376263"/>
              <a:gd name="connsiteY46" fmla="*/ 341554 h 545533"/>
              <a:gd name="connsiteX47" fmla="*/ 152003 w 376263"/>
              <a:gd name="connsiteY47" fmla="*/ 115372 h 545533"/>
              <a:gd name="connsiteX48" fmla="*/ 165932 w 376263"/>
              <a:gd name="connsiteY48" fmla="*/ 137574 h 545533"/>
              <a:gd name="connsiteX49" fmla="*/ 139467 w 376263"/>
              <a:gd name="connsiteY49" fmla="*/ 137574 h 545533"/>
              <a:gd name="connsiteX50" fmla="*/ 152003 w 376263"/>
              <a:gd name="connsiteY50" fmla="*/ 115372 h 545533"/>
              <a:gd name="connsiteX51" fmla="*/ 135288 w 376263"/>
              <a:gd name="connsiteY51" fmla="*/ 95946 h 545533"/>
              <a:gd name="connsiteX52" fmla="*/ 107429 w 376263"/>
              <a:gd name="connsiteY52" fmla="*/ 137574 h 545533"/>
              <a:gd name="connsiteX53" fmla="*/ 92107 w 376263"/>
              <a:gd name="connsiteY53" fmla="*/ 137574 h 545533"/>
              <a:gd name="connsiteX54" fmla="*/ 71213 w 376263"/>
              <a:gd name="connsiteY54" fmla="*/ 98721 h 545533"/>
              <a:gd name="connsiteX55" fmla="*/ 97679 w 376263"/>
              <a:gd name="connsiteY55" fmla="*/ 62643 h 545533"/>
              <a:gd name="connsiteX56" fmla="*/ 135288 w 376263"/>
              <a:gd name="connsiteY56" fmla="*/ 95946 h 545533"/>
              <a:gd name="connsiteX57" fmla="*/ 46141 w 376263"/>
              <a:gd name="connsiteY57" fmla="*/ 333228 h 545533"/>
              <a:gd name="connsiteX58" fmla="*/ 47533 w 376263"/>
              <a:gd name="connsiteY58" fmla="*/ 311026 h 545533"/>
              <a:gd name="connsiteX59" fmla="*/ 46141 w 376263"/>
              <a:gd name="connsiteY59" fmla="*/ 301313 h 545533"/>
              <a:gd name="connsiteX60" fmla="*/ 37783 w 376263"/>
              <a:gd name="connsiteY60" fmla="*/ 297150 h 545533"/>
              <a:gd name="connsiteX61" fmla="*/ 19675 w 376263"/>
              <a:gd name="connsiteY61" fmla="*/ 286049 h 545533"/>
              <a:gd name="connsiteX62" fmla="*/ 30818 w 376263"/>
              <a:gd name="connsiteY62" fmla="*/ 270786 h 545533"/>
              <a:gd name="connsiteX63" fmla="*/ 39176 w 376263"/>
              <a:gd name="connsiteY63" fmla="*/ 262460 h 545533"/>
              <a:gd name="connsiteX64" fmla="*/ 50319 w 376263"/>
              <a:gd name="connsiteY64" fmla="*/ 247196 h 545533"/>
              <a:gd name="connsiteX65" fmla="*/ 58677 w 376263"/>
              <a:gd name="connsiteY65" fmla="*/ 324903 h 545533"/>
              <a:gd name="connsiteX66" fmla="*/ 58677 w 376263"/>
              <a:gd name="connsiteY66" fmla="*/ 340166 h 545533"/>
              <a:gd name="connsiteX67" fmla="*/ 46141 w 376263"/>
              <a:gd name="connsiteY67" fmla="*/ 333228 h 545533"/>
              <a:gd name="connsiteX68" fmla="*/ 76785 w 376263"/>
              <a:gd name="connsiteY68" fmla="*/ 505293 h 545533"/>
              <a:gd name="connsiteX69" fmla="*/ 76785 w 376263"/>
              <a:gd name="connsiteY69" fmla="*/ 351267 h 545533"/>
              <a:gd name="connsiteX70" fmla="*/ 76785 w 376263"/>
              <a:gd name="connsiteY70" fmla="*/ 351267 h 545533"/>
              <a:gd name="connsiteX71" fmla="*/ 76785 w 376263"/>
              <a:gd name="connsiteY71" fmla="*/ 351267 h 545533"/>
              <a:gd name="connsiteX72" fmla="*/ 76785 w 376263"/>
              <a:gd name="connsiteY72" fmla="*/ 324903 h 545533"/>
              <a:gd name="connsiteX73" fmla="*/ 61463 w 376263"/>
              <a:gd name="connsiteY73" fmla="*/ 177815 h 545533"/>
              <a:gd name="connsiteX74" fmla="*/ 60070 w 376263"/>
              <a:gd name="connsiteY74" fmla="*/ 175040 h 545533"/>
              <a:gd name="connsiteX75" fmla="*/ 21068 w 376263"/>
              <a:gd name="connsiteY75" fmla="*/ 98721 h 545533"/>
              <a:gd name="connsiteX76" fmla="*/ 73999 w 376263"/>
              <a:gd name="connsiteY76" fmla="*/ 26565 h 545533"/>
              <a:gd name="connsiteX77" fmla="*/ 89321 w 376263"/>
              <a:gd name="connsiteY77" fmla="*/ 23790 h 545533"/>
              <a:gd name="connsiteX78" fmla="*/ 92107 w 376263"/>
              <a:gd name="connsiteY78" fmla="*/ 39053 h 545533"/>
              <a:gd name="connsiteX79" fmla="*/ 51712 w 376263"/>
              <a:gd name="connsiteY79" fmla="*/ 93170 h 545533"/>
              <a:gd name="connsiteX80" fmla="*/ 50319 w 376263"/>
              <a:gd name="connsiteY80" fmla="*/ 104271 h 545533"/>
              <a:gd name="connsiteX81" fmla="*/ 76785 w 376263"/>
              <a:gd name="connsiteY81" fmla="*/ 154226 h 545533"/>
              <a:gd name="connsiteX82" fmla="*/ 85143 w 376263"/>
              <a:gd name="connsiteY82" fmla="*/ 159776 h 545533"/>
              <a:gd name="connsiteX83" fmla="*/ 108822 w 376263"/>
              <a:gd name="connsiteY83" fmla="*/ 159776 h 545533"/>
              <a:gd name="connsiteX84" fmla="*/ 108822 w 376263"/>
              <a:gd name="connsiteY84" fmla="*/ 159776 h 545533"/>
              <a:gd name="connsiteX85" fmla="*/ 108822 w 376263"/>
              <a:gd name="connsiteY85" fmla="*/ 159776 h 545533"/>
              <a:gd name="connsiteX86" fmla="*/ 185433 w 376263"/>
              <a:gd name="connsiteY86" fmla="*/ 159776 h 545533"/>
              <a:gd name="connsiteX87" fmla="*/ 193791 w 376263"/>
              <a:gd name="connsiteY87" fmla="*/ 154226 h 545533"/>
              <a:gd name="connsiteX88" fmla="*/ 193791 w 376263"/>
              <a:gd name="connsiteY88" fmla="*/ 144512 h 545533"/>
              <a:gd name="connsiteX89" fmla="*/ 165932 w 376263"/>
              <a:gd name="connsiteY89" fmla="*/ 101496 h 545533"/>
              <a:gd name="connsiteX90" fmla="*/ 164539 w 376263"/>
              <a:gd name="connsiteY90" fmla="*/ 93170 h 545533"/>
              <a:gd name="connsiteX91" fmla="*/ 170111 w 376263"/>
              <a:gd name="connsiteY91" fmla="*/ 86232 h 545533"/>
              <a:gd name="connsiteX92" fmla="*/ 178468 w 376263"/>
              <a:gd name="connsiteY92" fmla="*/ 84845 h 545533"/>
              <a:gd name="connsiteX93" fmla="*/ 185433 w 376263"/>
              <a:gd name="connsiteY93" fmla="*/ 89008 h 545533"/>
              <a:gd name="connsiteX94" fmla="*/ 231400 w 376263"/>
              <a:gd name="connsiteY94" fmla="*/ 161164 h 545533"/>
              <a:gd name="connsiteX95" fmla="*/ 231400 w 376263"/>
              <a:gd name="connsiteY95" fmla="*/ 172265 h 545533"/>
              <a:gd name="connsiteX96" fmla="*/ 221649 w 376263"/>
              <a:gd name="connsiteY96" fmla="*/ 177815 h 545533"/>
              <a:gd name="connsiteX97" fmla="*/ 170111 w 376263"/>
              <a:gd name="connsiteY97" fmla="*/ 177815 h 545533"/>
              <a:gd name="connsiteX98" fmla="*/ 163146 w 376263"/>
              <a:gd name="connsiteY98" fmla="*/ 180590 h 545533"/>
              <a:gd name="connsiteX99" fmla="*/ 160360 w 376263"/>
              <a:gd name="connsiteY99" fmla="*/ 188916 h 545533"/>
              <a:gd name="connsiteX100" fmla="*/ 175683 w 376263"/>
              <a:gd name="connsiteY100" fmla="*/ 302701 h 545533"/>
              <a:gd name="connsiteX101" fmla="*/ 175683 w 376263"/>
              <a:gd name="connsiteY101" fmla="*/ 506681 h 545533"/>
              <a:gd name="connsiteX102" fmla="*/ 156182 w 376263"/>
              <a:gd name="connsiteY102" fmla="*/ 526107 h 545533"/>
              <a:gd name="connsiteX103" fmla="*/ 136681 w 376263"/>
              <a:gd name="connsiteY103" fmla="*/ 506681 h 545533"/>
              <a:gd name="connsiteX104" fmla="*/ 136681 w 376263"/>
              <a:gd name="connsiteY104" fmla="*/ 326290 h 545533"/>
              <a:gd name="connsiteX105" fmla="*/ 126930 w 376263"/>
              <a:gd name="connsiteY105" fmla="*/ 316577 h 545533"/>
              <a:gd name="connsiteX106" fmla="*/ 117180 w 376263"/>
              <a:gd name="connsiteY106" fmla="*/ 326290 h 545533"/>
              <a:gd name="connsiteX107" fmla="*/ 117180 w 376263"/>
              <a:gd name="connsiteY107" fmla="*/ 506681 h 545533"/>
              <a:gd name="connsiteX108" fmla="*/ 97679 w 376263"/>
              <a:gd name="connsiteY108" fmla="*/ 526107 h 545533"/>
              <a:gd name="connsiteX109" fmla="*/ 76785 w 376263"/>
              <a:gd name="connsiteY109" fmla="*/ 505293 h 5455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Lst>
            <a:rect l="l" t="t" r="r" b="b"/>
            <a:pathLst>
              <a:path w="376263" h="545533">
                <a:moveTo>
                  <a:pt x="192398" y="505293"/>
                </a:moveTo>
                <a:lnTo>
                  <a:pt x="192398" y="438687"/>
                </a:lnTo>
                <a:cubicBezTo>
                  <a:pt x="204934" y="437300"/>
                  <a:pt x="220256" y="430362"/>
                  <a:pt x="224435" y="413710"/>
                </a:cubicBezTo>
                <a:cubicBezTo>
                  <a:pt x="239757" y="408160"/>
                  <a:pt x="245329" y="392896"/>
                  <a:pt x="243936" y="380407"/>
                </a:cubicBezTo>
                <a:cubicBezTo>
                  <a:pt x="242543" y="369306"/>
                  <a:pt x="234185" y="358205"/>
                  <a:pt x="220256" y="355430"/>
                </a:cubicBezTo>
                <a:cubicBezTo>
                  <a:pt x="221649" y="344329"/>
                  <a:pt x="218863" y="336004"/>
                  <a:pt x="216077" y="330453"/>
                </a:cubicBezTo>
                <a:cubicBezTo>
                  <a:pt x="211899" y="323515"/>
                  <a:pt x="203541" y="317965"/>
                  <a:pt x="193791" y="315189"/>
                </a:cubicBezTo>
                <a:lnTo>
                  <a:pt x="193791" y="299925"/>
                </a:lnTo>
                <a:lnTo>
                  <a:pt x="179861" y="195854"/>
                </a:lnTo>
                <a:lnTo>
                  <a:pt x="220256" y="195854"/>
                </a:lnTo>
                <a:cubicBezTo>
                  <a:pt x="231400" y="195854"/>
                  <a:pt x="242543" y="190304"/>
                  <a:pt x="248115" y="180590"/>
                </a:cubicBezTo>
                <a:cubicBezTo>
                  <a:pt x="253686" y="170877"/>
                  <a:pt x="253686" y="158388"/>
                  <a:pt x="246722" y="148675"/>
                </a:cubicBezTo>
                <a:lnTo>
                  <a:pt x="200755" y="76519"/>
                </a:lnTo>
                <a:cubicBezTo>
                  <a:pt x="196577" y="69581"/>
                  <a:pt x="189612" y="65418"/>
                  <a:pt x="181254" y="62643"/>
                </a:cubicBezTo>
                <a:cubicBezTo>
                  <a:pt x="172897" y="61255"/>
                  <a:pt x="164539" y="62643"/>
                  <a:pt x="157575" y="66806"/>
                </a:cubicBezTo>
                <a:cubicBezTo>
                  <a:pt x="153396" y="69581"/>
                  <a:pt x="150610" y="72356"/>
                  <a:pt x="149217" y="75131"/>
                </a:cubicBezTo>
                <a:cubicBezTo>
                  <a:pt x="142252" y="59868"/>
                  <a:pt x="128323" y="48767"/>
                  <a:pt x="111608" y="44604"/>
                </a:cubicBezTo>
                <a:cubicBezTo>
                  <a:pt x="118573" y="32115"/>
                  <a:pt x="114394" y="15464"/>
                  <a:pt x="103250" y="5750"/>
                </a:cubicBezTo>
                <a:cubicBezTo>
                  <a:pt x="89321" y="-3963"/>
                  <a:pt x="69820" y="-1188"/>
                  <a:pt x="60070" y="12689"/>
                </a:cubicBezTo>
                <a:lnTo>
                  <a:pt x="22461" y="64030"/>
                </a:lnTo>
                <a:lnTo>
                  <a:pt x="2960" y="90395"/>
                </a:lnTo>
                <a:cubicBezTo>
                  <a:pt x="174" y="93170"/>
                  <a:pt x="174" y="97333"/>
                  <a:pt x="1567" y="100109"/>
                </a:cubicBezTo>
                <a:lnTo>
                  <a:pt x="43355" y="180590"/>
                </a:lnTo>
                <a:lnTo>
                  <a:pt x="48926" y="227769"/>
                </a:lnTo>
                <a:cubicBezTo>
                  <a:pt x="37783" y="230545"/>
                  <a:pt x="25247" y="237483"/>
                  <a:pt x="21068" y="254134"/>
                </a:cubicBezTo>
                <a:cubicBezTo>
                  <a:pt x="5746" y="259685"/>
                  <a:pt x="-1219" y="276336"/>
                  <a:pt x="174" y="290212"/>
                </a:cubicBezTo>
                <a:cubicBezTo>
                  <a:pt x="1567" y="302701"/>
                  <a:pt x="9925" y="313802"/>
                  <a:pt x="26640" y="316577"/>
                </a:cubicBezTo>
                <a:cubicBezTo>
                  <a:pt x="23854" y="329065"/>
                  <a:pt x="28033" y="338779"/>
                  <a:pt x="30818" y="344329"/>
                </a:cubicBezTo>
                <a:cubicBezTo>
                  <a:pt x="36390" y="352655"/>
                  <a:pt x="46141" y="358205"/>
                  <a:pt x="58677" y="360981"/>
                </a:cubicBezTo>
                <a:lnTo>
                  <a:pt x="58677" y="506681"/>
                </a:lnTo>
                <a:cubicBezTo>
                  <a:pt x="58677" y="513619"/>
                  <a:pt x="60070" y="520557"/>
                  <a:pt x="64249" y="526107"/>
                </a:cubicBezTo>
                <a:lnTo>
                  <a:pt x="9925" y="526107"/>
                </a:lnTo>
                <a:lnTo>
                  <a:pt x="9925" y="545534"/>
                </a:lnTo>
                <a:lnTo>
                  <a:pt x="376264" y="545534"/>
                </a:lnTo>
                <a:lnTo>
                  <a:pt x="376264" y="526107"/>
                </a:lnTo>
                <a:lnTo>
                  <a:pt x="188219" y="526107"/>
                </a:lnTo>
                <a:cubicBezTo>
                  <a:pt x="191005" y="519169"/>
                  <a:pt x="192398" y="512231"/>
                  <a:pt x="192398" y="505293"/>
                </a:cubicBezTo>
                <a:close/>
                <a:moveTo>
                  <a:pt x="199362" y="341554"/>
                </a:moveTo>
                <a:cubicBezTo>
                  <a:pt x="202148" y="347105"/>
                  <a:pt x="200755" y="355430"/>
                  <a:pt x="197969" y="360981"/>
                </a:cubicBezTo>
                <a:cubicBezTo>
                  <a:pt x="196577" y="363756"/>
                  <a:pt x="196577" y="367919"/>
                  <a:pt x="199362" y="370694"/>
                </a:cubicBezTo>
                <a:cubicBezTo>
                  <a:pt x="200755" y="373469"/>
                  <a:pt x="204934" y="374857"/>
                  <a:pt x="207720" y="374857"/>
                </a:cubicBezTo>
                <a:cubicBezTo>
                  <a:pt x="217470" y="373469"/>
                  <a:pt x="223042" y="377632"/>
                  <a:pt x="224435" y="384570"/>
                </a:cubicBezTo>
                <a:cubicBezTo>
                  <a:pt x="225828" y="390121"/>
                  <a:pt x="223042" y="397059"/>
                  <a:pt x="214684" y="398446"/>
                </a:cubicBezTo>
                <a:cubicBezTo>
                  <a:pt x="210506" y="399834"/>
                  <a:pt x="206327" y="402609"/>
                  <a:pt x="206327" y="406772"/>
                </a:cubicBezTo>
                <a:cubicBezTo>
                  <a:pt x="206327" y="416485"/>
                  <a:pt x="197969" y="419261"/>
                  <a:pt x="192398" y="420648"/>
                </a:cubicBezTo>
                <a:lnTo>
                  <a:pt x="192398" y="337391"/>
                </a:lnTo>
                <a:cubicBezTo>
                  <a:pt x="195184" y="337391"/>
                  <a:pt x="197969" y="340166"/>
                  <a:pt x="199362" y="341554"/>
                </a:cubicBezTo>
                <a:close/>
                <a:moveTo>
                  <a:pt x="152003" y="115372"/>
                </a:moveTo>
                <a:lnTo>
                  <a:pt x="165932" y="137574"/>
                </a:lnTo>
                <a:lnTo>
                  <a:pt x="139467" y="137574"/>
                </a:lnTo>
                <a:cubicBezTo>
                  <a:pt x="146431" y="130636"/>
                  <a:pt x="150610" y="123698"/>
                  <a:pt x="152003" y="115372"/>
                </a:cubicBezTo>
                <a:close/>
                <a:moveTo>
                  <a:pt x="135288" y="95946"/>
                </a:moveTo>
                <a:cubicBezTo>
                  <a:pt x="138074" y="113985"/>
                  <a:pt x="125537" y="132024"/>
                  <a:pt x="107429" y="137574"/>
                </a:cubicBezTo>
                <a:lnTo>
                  <a:pt x="92107" y="137574"/>
                </a:lnTo>
                <a:lnTo>
                  <a:pt x="71213" y="98721"/>
                </a:lnTo>
                <a:lnTo>
                  <a:pt x="97679" y="62643"/>
                </a:lnTo>
                <a:cubicBezTo>
                  <a:pt x="117180" y="64030"/>
                  <a:pt x="132502" y="77907"/>
                  <a:pt x="135288" y="95946"/>
                </a:cubicBezTo>
                <a:close/>
                <a:moveTo>
                  <a:pt x="46141" y="333228"/>
                </a:moveTo>
                <a:cubicBezTo>
                  <a:pt x="41962" y="326290"/>
                  <a:pt x="44748" y="317965"/>
                  <a:pt x="47533" y="311026"/>
                </a:cubicBezTo>
                <a:cubicBezTo>
                  <a:pt x="48926" y="308251"/>
                  <a:pt x="48926" y="304088"/>
                  <a:pt x="46141" y="301313"/>
                </a:cubicBezTo>
                <a:cubicBezTo>
                  <a:pt x="44748" y="298538"/>
                  <a:pt x="40569" y="297150"/>
                  <a:pt x="37783" y="297150"/>
                </a:cubicBezTo>
                <a:cubicBezTo>
                  <a:pt x="26640" y="298538"/>
                  <a:pt x="19675" y="294375"/>
                  <a:pt x="19675" y="286049"/>
                </a:cubicBezTo>
                <a:cubicBezTo>
                  <a:pt x="18282" y="279111"/>
                  <a:pt x="22461" y="272173"/>
                  <a:pt x="30818" y="270786"/>
                </a:cubicBezTo>
                <a:cubicBezTo>
                  <a:pt x="34997" y="269398"/>
                  <a:pt x="39176" y="266623"/>
                  <a:pt x="39176" y="262460"/>
                </a:cubicBezTo>
                <a:cubicBezTo>
                  <a:pt x="39176" y="252746"/>
                  <a:pt x="46141" y="249971"/>
                  <a:pt x="50319" y="247196"/>
                </a:cubicBezTo>
                <a:lnTo>
                  <a:pt x="58677" y="324903"/>
                </a:lnTo>
                <a:lnTo>
                  <a:pt x="58677" y="340166"/>
                </a:lnTo>
                <a:cubicBezTo>
                  <a:pt x="51712" y="338779"/>
                  <a:pt x="47533" y="336004"/>
                  <a:pt x="46141" y="333228"/>
                </a:cubicBezTo>
                <a:close/>
                <a:moveTo>
                  <a:pt x="76785" y="505293"/>
                </a:moveTo>
                <a:lnTo>
                  <a:pt x="76785" y="351267"/>
                </a:lnTo>
                <a:cubicBezTo>
                  <a:pt x="76785" y="351267"/>
                  <a:pt x="76785" y="351267"/>
                  <a:pt x="76785" y="351267"/>
                </a:cubicBezTo>
                <a:cubicBezTo>
                  <a:pt x="76785" y="351267"/>
                  <a:pt x="76785" y="351267"/>
                  <a:pt x="76785" y="351267"/>
                </a:cubicBezTo>
                <a:lnTo>
                  <a:pt x="76785" y="324903"/>
                </a:lnTo>
                <a:lnTo>
                  <a:pt x="61463" y="177815"/>
                </a:lnTo>
                <a:cubicBezTo>
                  <a:pt x="61463" y="176428"/>
                  <a:pt x="61463" y="175040"/>
                  <a:pt x="60070" y="175040"/>
                </a:cubicBezTo>
                <a:lnTo>
                  <a:pt x="21068" y="98721"/>
                </a:lnTo>
                <a:lnTo>
                  <a:pt x="73999" y="26565"/>
                </a:lnTo>
                <a:cubicBezTo>
                  <a:pt x="78178" y="21014"/>
                  <a:pt x="85143" y="21014"/>
                  <a:pt x="89321" y="23790"/>
                </a:cubicBezTo>
                <a:cubicBezTo>
                  <a:pt x="94893" y="27952"/>
                  <a:pt x="94893" y="34890"/>
                  <a:pt x="92107" y="39053"/>
                </a:cubicBezTo>
                <a:lnTo>
                  <a:pt x="51712" y="93170"/>
                </a:lnTo>
                <a:cubicBezTo>
                  <a:pt x="48926" y="95946"/>
                  <a:pt x="48926" y="100109"/>
                  <a:pt x="50319" y="104271"/>
                </a:cubicBezTo>
                <a:lnTo>
                  <a:pt x="76785" y="154226"/>
                </a:lnTo>
                <a:cubicBezTo>
                  <a:pt x="78178" y="157001"/>
                  <a:pt x="82357" y="159776"/>
                  <a:pt x="85143" y="159776"/>
                </a:cubicBezTo>
                <a:lnTo>
                  <a:pt x="108822" y="159776"/>
                </a:lnTo>
                <a:cubicBezTo>
                  <a:pt x="108822" y="159776"/>
                  <a:pt x="108822" y="159776"/>
                  <a:pt x="108822" y="159776"/>
                </a:cubicBezTo>
                <a:cubicBezTo>
                  <a:pt x="108822" y="159776"/>
                  <a:pt x="108822" y="159776"/>
                  <a:pt x="108822" y="159776"/>
                </a:cubicBezTo>
                <a:lnTo>
                  <a:pt x="185433" y="159776"/>
                </a:lnTo>
                <a:cubicBezTo>
                  <a:pt x="189612" y="159776"/>
                  <a:pt x="192398" y="158388"/>
                  <a:pt x="193791" y="154226"/>
                </a:cubicBezTo>
                <a:cubicBezTo>
                  <a:pt x="195184" y="151450"/>
                  <a:pt x="195184" y="147288"/>
                  <a:pt x="193791" y="144512"/>
                </a:cubicBezTo>
                <a:lnTo>
                  <a:pt x="165932" y="101496"/>
                </a:lnTo>
                <a:cubicBezTo>
                  <a:pt x="164539" y="98721"/>
                  <a:pt x="163146" y="95946"/>
                  <a:pt x="164539" y="93170"/>
                </a:cubicBezTo>
                <a:cubicBezTo>
                  <a:pt x="165932" y="90395"/>
                  <a:pt x="167325" y="87620"/>
                  <a:pt x="170111" y="86232"/>
                </a:cubicBezTo>
                <a:cubicBezTo>
                  <a:pt x="172897" y="84845"/>
                  <a:pt x="175683" y="83457"/>
                  <a:pt x="178468" y="84845"/>
                </a:cubicBezTo>
                <a:cubicBezTo>
                  <a:pt x="181254" y="84845"/>
                  <a:pt x="184040" y="87620"/>
                  <a:pt x="185433" y="89008"/>
                </a:cubicBezTo>
                <a:lnTo>
                  <a:pt x="231400" y="161164"/>
                </a:lnTo>
                <a:cubicBezTo>
                  <a:pt x="234185" y="165327"/>
                  <a:pt x="234185" y="169489"/>
                  <a:pt x="231400" y="172265"/>
                </a:cubicBezTo>
                <a:cubicBezTo>
                  <a:pt x="230007" y="176428"/>
                  <a:pt x="225828" y="177815"/>
                  <a:pt x="221649" y="177815"/>
                </a:cubicBezTo>
                <a:lnTo>
                  <a:pt x="170111" y="177815"/>
                </a:lnTo>
                <a:cubicBezTo>
                  <a:pt x="167325" y="177815"/>
                  <a:pt x="164539" y="179203"/>
                  <a:pt x="163146" y="180590"/>
                </a:cubicBezTo>
                <a:cubicBezTo>
                  <a:pt x="161753" y="181978"/>
                  <a:pt x="160360" y="186141"/>
                  <a:pt x="160360" y="188916"/>
                </a:cubicBezTo>
                <a:lnTo>
                  <a:pt x="175683" y="302701"/>
                </a:lnTo>
                <a:lnTo>
                  <a:pt x="175683" y="506681"/>
                </a:lnTo>
                <a:cubicBezTo>
                  <a:pt x="175683" y="517782"/>
                  <a:pt x="167325" y="526107"/>
                  <a:pt x="156182" y="526107"/>
                </a:cubicBezTo>
                <a:cubicBezTo>
                  <a:pt x="145038" y="526107"/>
                  <a:pt x="136681" y="517782"/>
                  <a:pt x="136681" y="506681"/>
                </a:cubicBezTo>
                <a:lnTo>
                  <a:pt x="136681" y="326290"/>
                </a:lnTo>
                <a:cubicBezTo>
                  <a:pt x="136681" y="320740"/>
                  <a:pt x="132502" y="316577"/>
                  <a:pt x="126930" y="316577"/>
                </a:cubicBezTo>
                <a:cubicBezTo>
                  <a:pt x="121359" y="316577"/>
                  <a:pt x="117180" y="320740"/>
                  <a:pt x="117180" y="326290"/>
                </a:cubicBezTo>
                <a:lnTo>
                  <a:pt x="117180" y="506681"/>
                </a:lnTo>
                <a:cubicBezTo>
                  <a:pt x="117180" y="517782"/>
                  <a:pt x="108822" y="526107"/>
                  <a:pt x="97679" y="526107"/>
                </a:cubicBezTo>
                <a:cubicBezTo>
                  <a:pt x="86535" y="526107"/>
                  <a:pt x="76785" y="516394"/>
                  <a:pt x="76785" y="505293"/>
                </a:cubicBezTo>
                <a:close/>
              </a:path>
            </a:pathLst>
          </a:custGeom>
          <a:solidFill>
            <a:srgbClr val="3C3C3B"/>
          </a:solidFill>
          <a:ln w="13920" cap="flat">
            <a:noFill/>
            <a:prstDash val="solid"/>
            <a:miter/>
          </a:ln>
        </xdr:spPr>
        <xdr:txBody>
          <a:bodyPr wrap="square" rtlCol="0" anchor="ct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l-NL"/>
          </a:p>
        </xdr:txBody>
      </xdr:sp>
    </xdr:grpSp>
    <xdr:clientData/>
  </xdr:twoCellAnchor>
  <xdr:twoCellAnchor>
    <xdr:from>
      <xdr:col>10</xdr:col>
      <xdr:colOff>1154140</xdr:colOff>
      <xdr:row>104</xdr:row>
      <xdr:rowOff>33411</xdr:rowOff>
    </xdr:from>
    <xdr:to>
      <xdr:col>12</xdr:col>
      <xdr:colOff>173441</xdr:colOff>
      <xdr:row>107</xdr:row>
      <xdr:rowOff>5119</xdr:rowOff>
    </xdr:to>
    <xdr:sp macro="" textlink="">
      <xdr:nvSpPr>
        <xdr:cNvPr id="21" name="Vrije vorm 204">
          <a:extLst>
            <a:ext uri="{FF2B5EF4-FFF2-40B4-BE49-F238E27FC236}">
              <a16:creationId xmlns:a16="http://schemas.microsoft.com/office/drawing/2014/main" id="{00000000-0008-0000-0100-000015000000}"/>
            </a:ext>
          </a:extLst>
        </xdr:cNvPr>
        <xdr:cNvSpPr/>
      </xdr:nvSpPr>
      <xdr:spPr>
        <a:xfrm>
          <a:off x="11376526" y="16142358"/>
          <a:ext cx="476459" cy="426235"/>
        </a:xfrm>
        <a:custGeom>
          <a:avLst/>
          <a:gdLst>
            <a:gd name="connsiteX0" fmla="*/ 540811 w 529931"/>
            <a:gd name="connsiteY0" fmla="*/ 15061 h 460203"/>
            <a:gd name="connsiteX1" fmla="*/ 540393 w 529931"/>
            <a:gd name="connsiteY1" fmla="*/ 14364 h 460203"/>
            <a:gd name="connsiteX2" fmla="*/ 513059 w 529931"/>
            <a:gd name="connsiteY2" fmla="*/ 0 h 460203"/>
            <a:gd name="connsiteX3" fmla="*/ 483913 w 529931"/>
            <a:gd name="connsiteY3" fmla="*/ 6415 h 460203"/>
            <a:gd name="connsiteX4" fmla="*/ 436080 w 529931"/>
            <a:gd name="connsiteY4" fmla="*/ 29007 h 460203"/>
            <a:gd name="connsiteX5" fmla="*/ 435941 w 529931"/>
            <a:gd name="connsiteY5" fmla="*/ 29007 h 460203"/>
            <a:gd name="connsiteX6" fmla="*/ 365376 w 529931"/>
            <a:gd name="connsiteY6" fmla="*/ 26218 h 460203"/>
            <a:gd name="connsiteX7" fmla="*/ 358264 w 529931"/>
            <a:gd name="connsiteY7" fmla="*/ 27891 h 460203"/>
            <a:gd name="connsiteX8" fmla="*/ 327305 w 529931"/>
            <a:gd name="connsiteY8" fmla="*/ 44626 h 460203"/>
            <a:gd name="connsiteX9" fmla="*/ 320471 w 529931"/>
            <a:gd name="connsiteY9" fmla="*/ 53969 h 460203"/>
            <a:gd name="connsiteX10" fmla="*/ 323260 w 529931"/>
            <a:gd name="connsiteY10" fmla="*/ 65265 h 460203"/>
            <a:gd name="connsiteX11" fmla="*/ 329118 w 529931"/>
            <a:gd name="connsiteY11" fmla="*/ 72377 h 460203"/>
            <a:gd name="connsiteX12" fmla="*/ 249489 w 529931"/>
            <a:gd name="connsiteY12" fmla="*/ 56061 h 460203"/>
            <a:gd name="connsiteX13" fmla="*/ 139179 w 529931"/>
            <a:gd name="connsiteY13" fmla="*/ 88694 h 460203"/>
            <a:gd name="connsiteX14" fmla="*/ 138063 w 529931"/>
            <a:gd name="connsiteY14" fmla="*/ 89251 h 460203"/>
            <a:gd name="connsiteX15" fmla="*/ 102363 w 529931"/>
            <a:gd name="connsiteY15" fmla="*/ 119095 h 460203"/>
            <a:gd name="connsiteX16" fmla="*/ 101526 w 529931"/>
            <a:gd name="connsiteY16" fmla="*/ 120211 h 460203"/>
            <a:gd name="connsiteX17" fmla="*/ 46720 w 529931"/>
            <a:gd name="connsiteY17" fmla="*/ 258690 h 460203"/>
            <a:gd name="connsiteX18" fmla="*/ 47557 w 529931"/>
            <a:gd name="connsiteY18" fmla="*/ 276680 h 460203"/>
            <a:gd name="connsiteX19" fmla="*/ 39887 w 529931"/>
            <a:gd name="connsiteY19" fmla="*/ 286442 h 460203"/>
            <a:gd name="connsiteX20" fmla="*/ 8788 w 529931"/>
            <a:gd name="connsiteY20" fmla="*/ 416833 h 460203"/>
            <a:gd name="connsiteX21" fmla="*/ 75727 w 529931"/>
            <a:gd name="connsiteY21" fmla="*/ 457972 h 460203"/>
            <a:gd name="connsiteX22" fmla="*/ 110451 w 529931"/>
            <a:gd name="connsiteY22" fmla="*/ 460761 h 460203"/>
            <a:gd name="connsiteX23" fmla="*/ 182410 w 529931"/>
            <a:gd name="connsiteY23" fmla="*/ 452115 h 460203"/>
            <a:gd name="connsiteX24" fmla="*/ 185478 w 529931"/>
            <a:gd name="connsiteY24" fmla="*/ 450860 h 460203"/>
            <a:gd name="connsiteX25" fmla="*/ 249489 w 529931"/>
            <a:gd name="connsiteY25" fmla="*/ 461179 h 460203"/>
            <a:gd name="connsiteX26" fmla="*/ 275985 w 529931"/>
            <a:gd name="connsiteY26" fmla="*/ 459506 h 460203"/>
            <a:gd name="connsiteX27" fmla="*/ 276125 w 529931"/>
            <a:gd name="connsiteY27" fmla="*/ 459506 h 460203"/>
            <a:gd name="connsiteX28" fmla="*/ 277380 w 529931"/>
            <a:gd name="connsiteY28" fmla="*/ 459367 h 460203"/>
            <a:gd name="connsiteX29" fmla="*/ 281284 w 529931"/>
            <a:gd name="connsiteY29" fmla="*/ 458809 h 460203"/>
            <a:gd name="connsiteX30" fmla="*/ 283794 w 529931"/>
            <a:gd name="connsiteY30" fmla="*/ 458390 h 460203"/>
            <a:gd name="connsiteX31" fmla="*/ 286584 w 529931"/>
            <a:gd name="connsiteY31" fmla="*/ 457833 h 460203"/>
            <a:gd name="connsiteX32" fmla="*/ 289651 w 529931"/>
            <a:gd name="connsiteY32" fmla="*/ 457275 h 460203"/>
            <a:gd name="connsiteX33" fmla="*/ 291325 w 529931"/>
            <a:gd name="connsiteY33" fmla="*/ 456856 h 460203"/>
            <a:gd name="connsiteX34" fmla="*/ 300111 w 529931"/>
            <a:gd name="connsiteY34" fmla="*/ 454904 h 460203"/>
            <a:gd name="connsiteX35" fmla="*/ 300390 w 529931"/>
            <a:gd name="connsiteY35" fmla="*/ 454765 h 460203"/>
            <a:gd name="connsiteX36" fmla="*/ 452117 w 529931"/>
            <a:gd name="connsiteY36" fmla="*/ 258550 h 460203"/>
            <a:gd name="connsiteX37" fmla="*/ 430502 w 529931"/>
            <a:gd name="connsiteY37" fmla="*/ 167486 h 460203"/>
            <a:gd name="connsiteX38" fmla="*/ 428689 w 529931"/>
            <a:gd name="connsiteY38" fmla="*/ 164976 h 460203"/>
            <a:gd name="connsiteX39" fmla="*/ 462716 w 529931"/>
            <a:gd name="connsiteY39" fmla="*/ 89391 h 460203"/>
            <a:gd name="connsiteX40" fmla="*/ 502879 w 529931"/>
            <a:gd name="connsiteY40" fmla="*/ 68473 h 460203"/>
            <a:gd name="connsiteX41" fmla="*/ 540811 w 529931"/>
            <a:gd name="connsiteY41" fmla="*/ 15061 h 460203"/>
            <a:gd name="connsiteX42" fmla="*/ 366352 w 529931"/>
            <a:gd name="connsiteY42" fmla="*/ 46160 h 460203"/>
            <a:gd name="connsiteX43" fmla="*/ 399542 w 529931"/>
            <a:gd name="connsiteY43" fmla="*/ 47415 h 460203"/>
            <a:gd name="connsiteX44" fmla="*/ 354777 w 529931"/>
            <a:gd name="connsiteY44" fmla="*/ 70425 h 460203"/>
            <a:gd name="connsiteX45" fmla="*/ 352686 w 529931"/>
            <a:gd name="connsiteY45" fmla="*/ 68751 h 460203"/>
            <a:gd name="connsiteX46" fmla="*/ 343900 w 529931"/>
            <a:gd name="connsiteY46" fmla="*/ 58153 h 460203"/>
            <a:gd name="connsiteX47" fmla="*/ 366352 w 529931"/>
            <a:gd name="connsiteY47" fmla="*/ 46160 h 460203"/>
            <a:gd name="connsiteX48" fmla="*/ 318658 w 529931"/>
            <a:gd name="connsiteY48" fmla="*/ 89391 h 460203"/>
            <a:gd name="connsiteX49" fmla="*/ 309594 w 529931"/>
            <a:gd name="connsiteY49" fmla="*/ 94132 h 460203"/>
            <a:gd name="connsiteX50" fmla="*/ 280587 w 529931"/>
            <a:gd name="connsiteY50" fmla="*/ 78514 h 460203"/>
            <a:gd name="connsiteX51" fmla="*/ 318658 w 529931"/>
            <a:gd name="connsiteY51" fmla="*/ 89391 h 460203"/>
            <a:gd name="connsiteX52" fmla="*/ 268036 w 529931"/>
            <a:gd name="connsiteY52" fmla="*/ 76840 h 460203"/>
            <a:gd name="connsiteX53" fmla="*/ 266223 w 529931"/>
            <a:gd name="connsiteY53" fmla="*/ 77537 h 460203"/>
            <a:gd name="connsiteX54" fmla="*/ 241400 w 529931"/>
            <a:gd name="connsiteY54" fmla="*/ 90507 h 460203"/>
            <a:gd name="connsiteX55" fmla="*/ 234567 w 529931"/>
            <a:gd name="connsiteY55" fmla="*/ 98874 h 460203"/>
            <a:gd name="connsiteX56" fmla="*/ 209046 w 529931"/>
            <a:gd name="connsiteY56" fmla="*/ 98874 h 460203"/>
            <a:gd name="connsiteX57" fmla="*/ 172370 w 529931"/>
            <a:gd name="connsiteY57" fmla="*/ 98874 h 460203"/>
            <a:gd name="connsiteX58" fmla="*/ 165954 w 529931"/>
            <a:gd name="connsiteY58" fmla="*/ 96085 h 460203"/>
            <a:gd name="connsiteX59" fmla="*/ 249489 w 529931"/>
            <a:gd name="connsiteY59" fmla="*/ 75864 h 460203"/>
            <a:gd name="connsiteX60" fmla="*/ 268036 w 529931"/>
            <a:gd name="connsiteY60" fmla="*/ 76840 h 460203"/>
            <a:gd name="connsiteX61" fmla="*/ 226757 w 529931"/>
            <a:gd name="connsiteY61" fmla="*/ 263153 h 460203"/>
            <a:gd name="connsiteX62" fmla="*/ 257019 w 529931"/>
            <a:gd name="connsiteY62" fmla="*/ 281700 h 460203"/>
            <a:gd name="connsiteX63" fmla="*/ 291186 w 529931"/>
            <a:gd name="connsiteY63" fmla="*/ 277656 h 460203"/>
            <a:gd name="connsiteX64" fmla="*/ 297600 w 529931"/>
            <a:gd name="connsiteY64" fmla="*/ 275006 h 460203"/>
            <a:gd name="connsiteX65" fmla="*/ 331628 w 529931"/>
            <a:gd name="connsiteY65" fmla="*/ 275006 h 460203"/>
            <a:gd name="connsiteX66" fmla="*/ 343342 w 529931"/>
            <a:gd name="connsiteY66" fmla="*/ 282118 h 460203"/>
            <a:gd name="connsiteX67" fmla="*/ 358542 w 529931"/>
            <a:gd name="connsiteY67" fmla="*/ 311404 h 460203"/>
            <a:gd name="connsiteX68" fmla="*/ 372349 w 529931"/>
            <a:gd name="connsiteY68" fmla="*/ 319771 h 460203"/>
            <a:gd name="connsiteX69" fmla="*/ 379322 w 529931"/>
            <a:gd name="connsiteY69" fmla="*/ 319771 h 460203"/>
            <a:gd name="connsiteX70" fmla="*/ 380577 w 529931"/>
            <a:gd name="connsiteY70" fmla="*/ 321027 h 460203"/>
            <a:gd name="connsiteX71" fmla="*/ 375417 w 529931"/>
            <a:gd name="connsiteY71" fmla="*/ 328836 h 460203"/>
            <a:gd name="connsiteX72" fmla="*/ 358682 w 529931"/>
            <a:gd name="connsiteY72" fmla="*/ 336227 h 460203"/>
            <a:gd name="connsiteX73" fmla="*/ 349478 w 529931"/>
            <a:gd name="connsiteY73" fmla="*/ 356727 h 460203"/>
            <a:gd name="connsiteX74" fmla="*/ 346271 w 529931"/>
            <a:gd name="connsiteY74" fmla="*/ 371231 h 460203"/>
            <a:gd name="connsiteX75" fmla="*/ 292301 w 529931"/>
            <a:gd name="connsiteY75" fmla="*/ 436217 h 460203"/>
            <a:gd name="connsiteX76" fmla="*/ 291046 w 529931"/>
            <a:gd name="connsiteY76" fmla="*/ 436496 h 460203"/>
            <a:gd name="connsiteX77" fmla="*/ 286026 w 529931"/>
            <a:gd name="connsiteY77" fmla="*/ 437612 h 460203"/>
            <a:gd name="connsiteX78" fmla="*/ 285050 w 529931"/>
            <a:gd name="connsiteY78" fmla="*/ 437751 h 460203"/>
            <a:gd name="connsiteX79" fmla="*/ 285050 w 529931"/>
            <a:gd name="connsiteY79" fmla="*/ 423666 h 460203"/>
            <a:gd name="connsiteX80" fmla="*/ 290628 w 529931"/>
            <a:gd name="connsiteY80" fmla="*/ 407628 h 460203"/>
            <a:gd name="connsiteX81" fmla="*/ 297182 w 529931"/>
            <a:gd name="connsiteY81" fmla="*/ 386292 h 460203"/>
            <a:gd name="connsiteX82" fmla="*/ 297182 w 529931"/>
            <a:gd name="connsiteY82" fmla="*/ 366071 h 460203"/>
            <a:gd name="connsiteX83" fmla="*/ 287002 w 529931"/>
            <a:gd name="connsiteY83" fmla="*/ 351428 h 460203"/>
            <a:gd name="connsiteX84" fmla="*/ 267199 w 529931"/>
            <a:gd name="connsiteY84" fmla="*/ 344037 h 460203"/>
            <a:gd name="connsiteX85" fmla="*/ 259808 w 529931"/>
            <a:gd name="connsiteY85" fmla="*/ 333578 h 460203"/>
            <a:gd name="connsiteX86" fmla="*/ 259808 w 529931"/>
            <a:gd name="connsiteY86" fmla="*/ 325908 h 460203"/>
            <a:gd name="connsiteX87" fmla="*/ 259808 w 529931"/>
            <a:gd name="connsiteY87" fmla="*/ 320887 h 460203"/>
            <a:gd name="connsiteX88" fmla="*/ 233730 w 529931"/>
            <a:gd name="connsiteY88" fmla="*/ 274309 h 460203"/>
            <a:gd name="connsiteX89" fmla="*/ 193009 w 529931"/>
            <a:gd name="connsiteY89" fmla="*/ 258969 h 460203"/>
            <a:gd name="connsiteX90" fmla="*/ 183944 w 529931"/>
            <a:gd name="connsiteY90" fmla="*/ 217690 h 460203"/>
            <a:gd name="connsiteX91" fmla="*/ 168744 w 529931"/>
            <a:gd name="connsiteY91" fmla="*/ 205418 h 460203"/>
            <a:gd name="connsiteX92" fmla="*/ 155635 w 529931"/>
            <a:gd name="connsiteY92" fmla="*/ 205418 h 460203"/>
            <a:gd name="connsiteX93" fmla="*/ 213230 w 529931"/>
            <a:gd name="connsiteY93" fmla="*/ 169438 h 460203"/>
            <a:gd name="connsiteX94" fmla="*/ 271801 w 529931"/>
            <a:gd name="connsiteY94" fmla="*/ 140850 h 460203"/>
            <a:gd name="connsiteX95" fmla="*/ 299553 w 529931"/>
            <a:gd name="connsiteY95" fmla="*/ 164836 h 460203"/>
            <a:gd name="connsiteX96" fmla="*/ 308478 w 529931"/>
            <a:gd name="connsiteY96" fmla="*/ 168183 h 460203"/>
            <a:gd name="connsiteX97" fmla="*/ 311686 w 529931"/>
            <a:gd name="connsiteY97" fmla="*/ 167765 h 460203"/>
            <a:gd name="connsiteX98" fmla="*/ 311686 w 529931"/>
            <a:gd name="connsiteY98" fmla="*/ 173622 h 460203"/>
            <a:gd name="connsiteX99" fmla="*/ 301784 w 529931"/>
            <a:gd name="connsiteY99" fmla="*/ 173622 h 460203"/>
            <a:gd name="connsiteX100" fmla="*/ 288118 w 529931"/>
            <a:gd name="connsiteY100" fmla="*/ 181850 h 460203"/>
            <a:gd name="connsiteX101" fmla="*/ 266920 w 529931"/>
            <a:gd name="connsiteY101" fmla="*/ 221176 h 460203"/>
            <a:gd name="connsiteX102" fmla="*/ 252557 w 529931"/>
            <a:gd name="connsiteY102" fmla="*/ 212530 h 460203"/>
            <a:gd name="connsiteX103" fmla="*/ 234985 w 529931"/>
            <a:gd name="connsiteY103" fmla="*/ 212530 h 460203"/>
            <a:gd name="connsiteX104" fmla="*/ 219366 w 529931"/>
            <a:gd name="connsiteY104" fmla="*/ 228149 h 460203"/>
            <a:gd name="connsiteX105" fmla="*/ 219366 w 529931"/>
            <a:gd name="connsiteY105" fmla="*/ 249625 h 460203"/>
            <a:gd name="connsiteX106" fmla="*/ 226757 w 529931"/>
            <a:gd name="connsiteY106" fmla="*/ 263153 h 460203"/>
            <a:gd name="connsiteX107" fmla="*/ 203608 w 529931"/>
            <a:gd name="connsiteY107" fmla="*/ 152425 h 460203"/>
            <a:gd name="connsiteX108" fmla="*/ 139458 w 529931"/>
            <a:gd name="connsiteY108" fmla="*/ 192867 h 460203"/>
            <a:gd name="connsiteX109" fmla="*/ 131648 w 529931"/>
            <a:gd name="connsiteY109" fmla="*/ 175435 h 460203"/>
            <a:gd name="connsiteX110" fmla="*/ 133043 w 529931"/>
            <a:gd name="connsiteY110" fmla="*/ 172506 h 460203"/>
            <a:gd name="connsiteX111" fmla="*/ 135135 w 529931"/>
            <a:gd name="connsiteY111" fmla="*/ 168183 h 460203"/>
            <a:gd name="connsiteX112" fmla="*/ 128859 w 529931"/>
            <a:gd name="connsiteY112" fmla="*/ 131088 h 460203"/>
            <a:gd name="connsiteX113" fmla="*/ 124118 w 529931"/>
            <a:gd name="connsiteY113" fmla="*/ 126068 h 460203"/>
            <a:gd name="connsiteX114" fmla="*/ 145176 w 529931"/>
            <a:gd name="connsiteY114" fmla="*/ 108915 h 460203"/>
            <a:gd name="connsiteX115" fmla="*/ 165397 w 529931"/>
            <a:gd name="connsiteY115" fmla="*/ 117561 h 460203"/>
            <a:gd name="connsiteX116" fmla="*/ 175298 w 529931"/>
            <a:gd name="connsiteY116" fmla="*/ 118956 h 460203"/>
            <a:gd name="connsiteX117" fmla="*/ 209464 w 529931"/>
            <a:gd name="connsiteY117" fmla="*/ 118956 h 460203"/>
            <a:gd name="connsiteX118" fmla="*/ 246141 w 529931"/>
            <a:gd name="connsiteY118" fmla="*/ 118956 h 460203"/>
            <a:gd name="connsiteX119" fmla="*/ 255206 w 529931"/>
            <a:gd name="connsiteY119" fmla="*/ 126765 h 460203"/>
            <a:gd name="connsiteX120" fmla="*/ 203608 w 529931"/>
            <a:gd name="connsiteY120" fmla="*/ 152425 h 460203"/>
            <a:gd name="connsiteX121" fmla="*/ 110312 w 529931"/>
            <a:gd name="connsiteY121" fmla="*/ 140711 h 460203"/>
            <a:gd name="connsiteX122" fmla="*/ 114495 w 529931"/>
            <a:gd name="connsiteY122" fmla="*/ 145034 h 460203"/>
            <a:gd name="connsiteX123" fmla="*/ 117006 w 529931"/>
            <a:gd name="connsiteY123" fmla="*/ 159677 h 460203"/>
            <a:gd name="connsiteX124" fmla="*/ 115053 w 529931"/>
            <a:gd name="connsiteY124" fmla="*/ 163860 h 460203"/>
            <a:gd name="connsiteX125" fmla="*/ 112683 w 529931"/>
            <a:gd name="connsiteY125" fmla="*/ 181850 h 460203"/>
            <a:gd name="connsiteX126" fmla="*/ 123142 w 529931"/>
            <a:gd name="connsiteY126" fmla="*/ 205279 h 460203"/>
            <a:gd name="connsiteX127" fmla="*/ 67220 w 529931"/>
            <a:gd name="connsiteY127" fmla="*/ 255204 h 460203"/>
            <a:gd name="connsiteX128" fmla="*/ 110312 w 529931"/>
            <a:gd name="connsiteY128" fmla="*/ 140711 h 460203"/>
            <a:gd name="connsiteX129" fmla="*/ 79353 w 529931"/>
            <a:gd name="connsiteY129" fmla="*/ 438309 h 460203"/>
            <a:gd name="connsiteX130" fmla="*/ 26360 w 529931"/>
            <a:gd name="connsiteY130" fmla="*/ 407071 h 460203"/>
            <a:gd name="connsiteX131" fmla="*/ 52019 w 529931"/>
            <a:gd name="connsiteY131" fmla="*/ 303734 h 460203"/>
            <a:gd name="connsiteX132" fmla="*/ 153961 w 529931"/>
            <a:gd name="connsiteY132" fmla="*/ 437193 h 460203"/>
            <a:gd name="connsiteX133" fmla="*/ 79353 w 529931"/>
            <a:gd name="connsiteY133" fmla="*/ 438309 h 460203"/>
            <a:gd name="connsiteX134" fmla="*/ 68615 w 529931"/>
            <a:gd name="connsiteY134" fmla="*/ 283095 h 460203"/>
            <a:gd name="connsiteX135" fmla="*/ 132903 w 529931"/>
            <a:gd name="connsiteY135" fmla="*/ 222711 h 460203"/>
            <a:gd name="connsiteX136" fmla="*/ 142386 w 529931"/>
            <a:gd name="connsiteY136" fmla="*/ 225918 h 460203"/>
            <a:gd name="connsiteX137" fmla="*/ 165257 w 529931"/>
            <a:gd name="connsiteY137" fmla="*/ 225918 h 460203"/>
            <a:gd name="connsiteX138" fmla="*/ 174043 w 529931"/>
            <a:gd name="connsiteY138" fmla="*/ 265942 h 460203"/>
            <a:gd name="connsiteX139" fmla="*/ 183666 w 529931"/>
            <a:gd name="connsiteY139" fmla="*/ 277098 h 460203"/>
            <a:gd name="connsiteX140" fmla="*/ 226618 w 529931"/>
            <a:gd name="connsiteY140" fmla="*/ 293275 h 460203"/>
            <a:gd name="connsiteX141" fmla="*/ 240005 w 529931"/>
            <a:gd name="connsiteY141" fmla="*/ 317540 h 460203"/>
            <a:gd name="connsiteX142" fmla="*/ 239726 w 529931"/>
            <a:gd name="connsiteY142" fmla="*/ 326047 h 460203"/>
            <a:gd name="connsiteX143" fmla="*/ 239726 w 529931"/>
            <a:gd name="connsiteY143" fmla="*/ 333717 h 460203"/>
            <a:gd name="connsiteX144" fmla="*/ 260087 w 529931"/>
            <a:gd name="connsiteY144" fmla="*/ 363003 h 460203"/>
            <a:gd name="connsiteX145" fmla="*/ 277100 w 529931"/>
            <a:gd name="connsiteY145" fmla="*/ 369278 h 460203"/>
            <a:gd name="connsiteX146" fmla="*/ 277100 w 529931"/>
            <a:gd name="connsiteY146" fmla="*/ 385316 h 460203"/>
            <a:gd name="connsiteX147" fmla="*/ 271662 w 529931"/>
            <a:gd name="connsiteY147" fmla="*/ 400935 h 460203"/>
            <a:gd name="connsiteX148" fmla="*/ 264968 w 529931"/>
            <a:gd name="connsiteY148" fmla="*/ 422690 h 460203"/>
            <a:gd name="connsiteX149" fmla="*/ 264968 w 529931"/>
            <a:gd name="connsiteY149" fmla="*/ 440540 h 460203"/>
            <a:gd name="connsiteX150" fmla="*/ 249628 w 529931"/>
            <a:gd name="connsiteY150" fmla="*/ 441237 h 460203"/>
            <a:gd name="connsiteX151" fmla="*/ 68615 w 529931"/>
            <a:gd name="connsiteY151" fmla="*/ 283095 h 460203"/>
            <a:gd name="connsiteX152" fmla="*/ 432454 w 529931"/>
            <a:gd name="connsiteY152" fmla="*/ 258690 h 460203"/>
            <a:gd name="connsiteX153" fmla="*/ 329257 w 529931"/>
            <a:gd name="connsiteY153" fmla="*/ 423247 h 460203"/>
            <a:gd name="connsiteX154" fmla="*/ 361610 w 529931"/>
            <a:gd name="connsiteY154" fmla="*/ 384200 h 460203"/>
            <a:gd name="connsiteX155" fmla="*/ 369420 w 529931"/>
            <a:gd name="connsiteY155" fmla="*/ 356030 h 460203"/>
            <a:gd name="connsiteX156" fmla="*/ 369281 w 529931"/>
            <a:gd name="connsiteY156" fmla="*/ 353520 h 460203"/>
            <a:gd name="connsiteX157" fmla="*/ 383505 w 529931"/>
            <a:gd name="connsiteY157" fmla="*/ 347244 h 460203"/>
            <a:gd name="connsiteX158" fmla="*/ 400519 w 529931"/>
            <a:gd name="connsiteY158" fmla="*/ 321166 h 460203"/>
            <a:gd name="connsiteX159" fmla="*/ 379322 w 529931"/>
            <a:gd name="connsiteY159" fmla="*/ 299969 h 460203"/>
            <a:gd name="connsiteX160" fmla="*/ 374999 w 529931"/>
            <a:gd name="connsiteY160" fmla="*/ 299969 h 460203"/>
            <a:gd name="connsiteX161" fmla="*/ 361053 w 529931"/>
            <a:gd name="connsiteY161" fmla="*/ 273054 h 460203"/>
            <a:gd name="connsiteX162" fmla="*/ 331488 w 529931"/>
            <a:gd name="connsiteY162" fmla="*/ 255064 h 460203"/>
            <a:gd name="connsiteX163" fmla="*/ 297461 w 529931"/>
            <a:gd name="connsiteY163" fmla="*/ 255064 h 460203"/>
            <a:gd name="connsiteX164" fmla="*/ 276822 w 529931"/>
            <a:gd name="connsiteY164" fmla="*/ 263571 h 460203"/>
            <a:gd name="connsiteX165" fmla="*/ 267199 w 529931"/>
            <a:gd name="connsiteY165" fmla="*/ 264687 h 460203"/>
            <a:gd name="connsiteX166" fmla="*/ 239029 w 529931"/>
            <a:gd name="connsiteY166" fmla="*/ 247394 h 460203"/>
            <a:gd name="connsiteX167" fmla="*/ 239029 w 529931"/>
            <a:gd name="connsiteY167" fmla="*/ 232751 h 460203"/>
            <a:gd name="connsiteX168" fmla="*/ 249907 w 529931"/>
            <a:gd name="connsiteY168" fmla="*/ 232751 h 460203"/>
            <a:gd name="connsiteX169" fmla="*/ 251720 w 529931"/>
            <a:gd name="connsiteY169" fmla="*/ 235261 h 460203"/>
            <a:gd name="connsiteX170" fmla="*/ 254509 w 529931"/>
            <a:gd name="connsiteY170" fmla="*/ 239027 h 460203"/>
            <a:gd name="connsiteX171" fmla="*/ 268176 w 529931"/>
            <a:gd name="connsiteY171" fmla="*/ 245163 h 460203"/>
            <a:gd name="connsiteX172" fmla="*/ 280726 w 529931"/>
            <a:gd name="connsiteY172" fmla="*/ 237074 h 460203"/>
            <a:gd name="connsiteX173" fmla="*/ 304016 w 529931"/>
            <a:gd name="connsiteY173" fmla="*/ 193983 h 460203"/>
            <a:gd name="connsiteX174" fmla="*/ 315730 w 529931"/>
            <a:gd name="connsiteY174" fmla="*/ 193983 h 460203"/>
            <a:gd name="connsiteX175" fmla="*/ 331349 w 529931"/>
            <a:gd name="connsiteY175" fmla="*/ 178364 h 460203"/>
            <a:gd name="connsiteX176" fmla="*/ 331349 w 529931"/>
            <a:gd name="connsiteY176" fmla="*/ 163163 h 460203"/>
            <a:gd name="connsiteX177" fmla="*/ 341808 w 529931"/>
            <a:gd name="connsiteY177" fmla="*/ 152704 h 460203"/>
            <a:gd name="connsiteX178" fmla="*/ 341808 w 529931"/>
            <a:gd name="connsiteY178" fmla="*/ 152704 h 460203"/>
            <a:gd name="connsiteX179" fmla="*/ 361053 w 529931"/>
            <a:gd name="connsiteY179" fmla="*/ 142663 h 460203"/>
            <a:gd name="connsiteX180" fmla="*/ 368026 w 529931"/>
            <a:gd name="connsiteY180" fmla="*/ 191751 h 460203"/>
            <a:gd name="connsiteX181" fmla="*/ 375277 w 529931"/>
            <a:gd name="connsiteY181" fmla="*/ 201932 h 460203"/>
            <a:gd name="connsiteX182" fmla="*/ 381413 w 529931"/>
            <a:gd name="connsiteY182" fmla="*/ 203466 h 460203"/>
            <a:gd name="connsiteX183" fmla="*/ 387828 w 529931"/>
            <a:gd name="connsiteY183" fmla="*/ 201792 h 460203"/>
            <a:gd name="connsiteX184" fmla="*/ 401913 w 529931"/>
            <a:gd name="connsiteY184" fmla="*/ 194122 h 460203"/>
            <a:gd name="connsiteX185" fmla="*/ 416138 w 529931"/>
            <a:gd name="connsiteY185" fmla="*/ 186452 h 460203"/>
            <a:gd name="connsiteX186" fmla="*/ 417114 w 529931"/>
            <a:gd name="connsiteY186" fmla="*/ 185894 h 460203"/>
            <a:gd name="connsiteX187" fmla="*/ 432454 w 529931"/>
            <a:gd name="connsiteY187" fmla="*/ 258690 h 460203"/>
            <a:gd name="connsiteX188" fmla="*/ 494093 w 529931"/>
            <a:gd name="connsiteY188" fmla="*/ 50762 h 460203"/>
            <a:gd name="connsiteX189" fmla="*/ 450862 w 529931"/>
            <a:gd name="connsiteY189" fmla="*/ 73354 h 460203"/>
            <a:gd name="connsiteX190" fmla="*/ 446400 w 529931"/>
            <a:gd name="connsiteY190" fmla="*/ 78095 h 460203"/>
            <a:gd name="connsiteX191" fmla="*/ 405121 w 529931"/>
            <a:gd name="connsiteY191" fmla="*/ 169857 h 460203"/>
            <a:gd name="connsiteX192" fmla="*/ 392709 w 529931"/>
            <a:gd name="connsiteY192" fmla="*/ 176690 h 460203"/>
            <a:gd name="connsiteX193" fmla="*/ 386852 w 529931"/>
            <a:gd name="connsiteY193" fmla="*/ 179898 h 460203"/>
            <a:gd name="connsiteX194" fmla="*/ 379182 w 529931"/>
            <a:gd name="connsiteY194" fmla="*/ 125928 h 460203"/>
            <a:gd name="connsiteX195" fmla="*/ 373883 w 529931"/>
            <a:gd name="connsiteY195" fmla="*/ 118398 h 460203"/>
            <a:gd name="connsiteX196" fmla="*/ 369281 w 529931"/>
            <a:gd name="connsiteY196" fmla="*/ 117282 h 460203"/>
            <a:gd name="connsiteX197" fmla="*/ 364679 w 529931"/>
            <a:gd name="connsiteY197" fmla="*/ 118398 h 460203"/>
            <a:gd name="connsiteX198" fmla="*/ 309315 w 529931"/>
            <a:gd name="connsiteY198" fmla="*/ 147265 h 460203"/>
            <a:gd name="connsiteX199" fmla="*/ 262597 w 529931"/>
            <a:gd name="connsiteY199" fmla="*/ 106962 h 460203"/>
            <a:gd name="connsiteX200" fmla="*/ 262597 w 529931"/>
            <a:gd name="connsiteY200" fmla="*/ 102081 h 460203"/>
            <a:gd name="connsiteX201" fmla="*/ 272499 w 529931"/>
            <a:gd name="connsiteY201" fmla="*/ 96922 h 460203"/>
            <a:gd name="connsiteX202" fmla="*/ 304713 w 529931"/>
            <a:gd name="connsiteY202" fmla="*/ 114353 h 460203"/>
            <a:gd name="connsiteX203" fmla="*/ 314056 w 529931"/>
            <a:gd name="connsiteY203" fmla="*/ 114353 h 460203"/>
            <a:gd name="connsiteX204" fmla="*/ 491444 w 529931"/>
            <a:gd name="connsiteY204" fmla="*/ 24963 h 460203"/>
            <a:gd name="connsiteX205" fmla="*/ 491723 w 529931"/>
            <a:gd name="connsiteY205" fmla="*/ 24823 h 460203"/>
            <a:gd name="connsiteX206" fmla="*/ 513059 w 529931"/>
            <a:gd name="connsiteY206" fmla="*/ 19942 h 460203"/>
            <a:gd name="connsiteX207" fmla="*/ 522682 w 529931"/>
            <a:gd name="connsiteY207" fmla="*/ 23568 h 460203"/>
            <a:gd name="connsiteX208" fmla="*/ 494093 w 529931"/>
            <a:gd name="connsiteY208" fmla="*/ 50762 h 4602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 ang="0">
              <a:pos x="connsiteX169" y="connsiteY169"/>
            </a:cxn>
            <a:cxn ang="0">
              <a:pos x="connsiteX170" y="connsiteY170"/>
            </a:cxn>
            <a:cxn ang="0">
              <a:pos x="connsiteX171" y="connsiteY171"/>
            </a:cxn>
            <a:cxn ang="0">
              <a:pos x="connsiteX172" y="connsiteY172"/>
            </a:cxn>
            <a:cxn ang="0">
              <a:pos x="connsiteX173" y="connsiteY173"/>
            </a:cxn>
            <a:cxn ang="0">
              <a:pos x="connsiteX174" y="connsiteY174"/>
            </a:cxn>
            <a:cxn ang="0">
              <a:pos x="connsiteX175" y="connsiteY175"/>
            </a:cxn>
            <a:cxn ang="0">
              <a:pos x="connsiteX176" y="connsiteY176"/>
            </a:cxn>
            <a:cxn ang="0">
              <a:pos x="connsiteX177" y="connsiteY177"/>
            </a:cxn>
            <a:cxn ang="0">
              <a:pos x="connsiteX178" y="connsiteY178"/>
            </a:cxn>
            <a:cxn ang="0">
              <a:pos x="connsiteX179" y="connsiteY179"/>
            </a:cxn>
            <a:cxn ang="0">
              <a:pos x="connsiteX180" y="connsiteY180"/>
            </a:cxn>
            <a:cxn ang="0">
              <a:pos x="connsiteX181" y="connsiteY181"/>
            </a:cxn>
            <a:cxn ang="0">
              <a:pos x="connsiteX182" y="connsiteY182"/>
            </a:cxn>
            <a:cxn ang="0">
              <a:pos x="connsiteX183" y="connsiteY183"/>
            </a:cxn>
            <a:cxn ang="0">
              <a:pos x="connsiteX184" y="connsiteY184"/>
            </a:cxn>
            <a:cxn ang="0">
              <a:pos x="connsiteX185" y="connsiteY185"/>
            </a:cxn>
            <a:cxn ang="0">
              <a:pos x="connsiteX186" y="connsiteY186"/>
            </a:cxn>
            <a:cxn ang="0">
              <a:pos x="connsiteX187" y="connsiteY187"/>
            </a:cxn>
            <a:cxn ang="0">
              <a:pos x="connsiteX188" y="connsiteY188"/>
            </a:cxn>
            <a:cxn ang="0">
              <a:pos x="connsiteX189" y="connsiteY189"/>
            </a:cxn>
            <a:cxn ang="0">
              <a:pos x="connsiteX190" y="connsiteY190"/>
            </a:cxn>
            <a:cxn ang="0">
              <a:pos x="connsiteX191" y="connsiteY191"/>
            </a:cxn>
            <a:cxn ang="0">
              <a:pos x="connsiteX192" y="connsiteY192"/>
            </a:cxn>
            <a:cxn ang="0">
              <a:pos x="connsiteX193" y="connsiteY193"/>
            </a:cxn>
            <a:cxn ang="0">
              <a:pos x="connsiteX194" y="connsiteY194"/>
            </a:cxn>
            <a:cxn ang="0">
              <a:pos x="connsiteX195" y="connsiteY195"/>
            </a:cxn>
            <a:cxn ang="0">
              <a:pos x="connsiteX196" y="connsiteY196"/>
            </a:cxn>
            <a:cxn ang="0">
              <a:pos x="connsiteX197" y="connsiteY197"/>
            </a:cxn>
            <a:cxn ang="0">
              <a:pos x="connsiteX198" y="connsiteY198"/>
            </a:cxn>
            <a:cxn ang="0">
              <a:pos x="connsiteX199" y="connsiteY199"/>
            </a:cxn>
            <a:cxn ang="0">
              <a:pos x="connsiteX200" y="connsiteY200"/>
            </a:cxn>
            <a:cxn ang="0">
              <a:pos x="connsiteX201" y="connsiteY201"/>
            </a:cxn>
            <a:cxn ang="0">
              <a:pos x="connsiteX202" y="connsiteY202"/>
            </a:cxn>
            <a:cxn ang="0">
              <a:pos x="connsiteX203" y="connsiteY203"/>
            </a:cxn>
            <a:cxn ang="0">
              <a:pos x="connsiteX204" y="connsiteY204"/>
            </a:cxn>
            <a:cxn ang="0">
              <a:pos x="connsiteX205" y="connsiteY205"/>
            </a:cxn>
            <a:cxn ang="0">
              <a:pos x="connsiteX206" y="connsiteY206"/>
            </a:cxn>
            <a:cxn ang="0">
              <a:pos x="connsiteX207" y="connsiteY207"/>
            </a:cxn>
            <a:cxn ang="0">
              <a:pos x="connsiteX208" y="connsiteY208"/>
            </a:cxn>
          </a:cxnLst>
          <a:rect l="l" t="t" r="r" b="b"/>
          <a:pathLst>
            <a:path w="529931" h="460203">
              <a:moveTo>
                <a:pt x="540811" y="15061"/>
              </a:moveTo>
              <a:cubicBezTo>
                <a:pt x="540671" y="14782"/>
                <a:pt x="540532" y="14643"/>
                <a:pt x="540393" y="14364"/>
              </a:cubicBezTo>
              <a:cubicBezTo>
                <a:pt x="537464" y="8925"/>
                <a:pt x="530212" y="0"/>
                <a:pt x="513059" y="0"/>
              </a:cubicBezTo>
              <a:cubicBezTo>
                <a:pt x="499532" y="0"/>
                <a:pt x="485587" y="5718"/>
                <a:pt x="483913" y="6415"/>
              </a:cubicBezTo>
              <a:cubicBezTo>
                <a:pt x="474988" y="10041"/>
                <a:pt x="457138" y="18548"/>
                <a:pt x="436080" y="29007"/>
              </a:cubicBezTo>
              <a:cubicBezTo>
                <a:pt x="436080" y="29007"/>
                <a:pt x="435941" y="29007"/>
                <a:pt x="435941" y="29007"/>
              </a:cubicBezTo>
              <a:lnTo>
                <a:pt x="365376" y="26218"/>
              </a:lnTo>
              <a:cubicBezTo>
                <a:pt x="362866" y="26078"/>
                <a:pt x="360355" y="26636"/>
                <a:pt x="358264" y="27891"/>
              </a:cubicBezTo>
              <a:lnTo>
                <a:pt x="327305" y="44626"/>
              </a:lnTo>
              <a:cubicBezTo>
                <a:pt x="323679" y="46578"/>
                <a:pt x="321168" y="49925"/>
                <a:pt x="320471" y="53969"/>
              </a:cubicBezTo>
              <a:cubicBezTo>
                <a:pt x="319635" y="58014"/>
                <a:pt x="320750" y="62058"/>
                <a:pt x="323260" y="65265"/>
              </a:cubicBezTo>
              <a:lnTo>
                <a:pt x="329118" y="72377"/>
              </a:lnTo>
              <a:cubicBezTo>
                <a:pt x="304016" y="61639"/>
                <a:pt x="277240" y="56061"/>
                <a:pt x="249489" y="56061"/>
              </a:cubicBezTo>
              <a:cubicBezTo>
                <a:pt x="208907" y="56061"/>
                <a:pt x="170975" y="68054"/>
                <a:pt x="139179" y="88694"/>
              </a:cubicBezTo>
              <a:cubicBezTo>
                <a:pt x="138761" y="88833"/>
                <a:pt x="138482" y="89112"/>
                <a:pt x="138063" y="89251"/>
              </a:cubicBezTo>
              <a:cubicBezTo>
                <a:pt x="125094" y="97758"/>
                <a:pt x="113101" y="107799"/>
                <a:pt x="102363" y="119095"/>
              </a:cubicBezTo>
              <a:cubicBezTo>
                <a:pt x="102084" y="119374"/>
                <a:pt x="101805" y="119792"/>
                <a:pt x="101526" y="120211"/>
              </a:cubicBezTo>
              <a:cubicBezTo>
                <a:pt x="67499" y="156469"/>
                <a:pt x="46720" y="205279"/>
                <a:pt x="46720" y="258690"/>
              </a:cubicBezTo>
              <a:cubicBezTo>
                <a:pt x="46720" y="264826"/>
                <a:pt x="46999" y="270823"/>
                <a:pt x="47557" y="276680"/>
              </a:cubicBezTo>
              <a:cubicBezTo>
                <a:pt x="44907" y="279887"/>
                <a:pt x="42257" y="283234"/>
                <a:pt x="39887" y="286442"/>
              </a:cubicBezTo>
              <a:cubicBezTo>
                <a:pt x="1257" y="337203"/>
                <a:pt x="-9759" y="383503"/>
                <a:pt x="8788" y="416833"/>
              </a:cubicBezTo>
              <a:cubicBezTo>
                <a:pt x="20642" y="438169"/>
                <a:pt x="43792" y="452394"/>
                <a:pt x="75727" y="457972"/>
              </a:cubicBezTo>
              <a:cubicBezTo>
                <a:pt x="86325" y="459785"/>
                <a:pt x="98040" y="460761"/>
                <a:pt x="110451" y="460761"/>
              </a:cubicBezTo>
              <a:cubicBezTo>
                <a:pt x="132346" y="460761"/>
                <a:pt x="156611" y="457833"/>
                <a:pt x="182410" y="452115"/>
              </a:cubicBezTo>
              <a:cubicBezTo>
                <a:pt x="183526" y="451836"/>
                <a:pt x="184502" y="451417"/>
                <a:pt x="185478" y="450860"/>
              </a:cubicBezTo>
              <a:cubicBezTo>
                <a:pt x="205560" y="457554"/>
                <a:pt x="227176" y="461179"/>
                <a:pt x="249489" y="461179"/>
              </a:cubicBezTo>
              <a:cubicBezTo>
                <a:pt x="258413" y="461179"/>
                <a:pt x="267339" y="460622"/>
                <a:pt x="275985" y="459506"/>
              </a:cubicBezTo>
              <a:cubicBezTo>
                <a:pt x="275985" y="459506"/>
                <a:pt x="276125" y="459506"/>
                <a:pt x="276125" y="459506"/>
              </a:cubicBezTo>
              <a:cubicBezTo>
                <a:pt x="276543" y="459506"/>
                <a:pt x="276961" y="459367"/>
                <a:pt x="277380" y="459367"/>
              </a:cubicBezTo>
              <a:cubicBezTo>
                <a:pt x="278635" y="459227"/>
                <a:pt x="280029" y="458948"/>
                <a:pt x="281284" y="458809"/>
              </a:cubicBezTo>
              <a:cubicBezTo>
                <a:pt x="282121" y="458669"/>
                <a:pt x="282958" y="458530"/>
                <a:pt x="283794" y="458390"/>
              </a:cubicBezTo>
              <a:cubicBezTo>
                <a:pt x="284771" y="458251"/>
                <a:pt x="285607" y="458111"/>
                <a:pt x="286584" y="457833"/>
              </a:cubicBezTo>
              <a:cubicBezTo>
                <a:pt x="287699" y="457693"/>
                <a:pt x="288676" y="457414"/>
                <a:pt x="289651" y="457275"/>
              </a:cubicBezTo>
              <a:cubicBezTo>
                <a:pt x="290209" y="457135"/>
                <a:pt x="290767" y="456996"/>
                <a:pt x="291325" y="456856"/>
              </a:cubicBezTo>
              <a:cubicBezTo>
                <a:pt x="294254" y="456299"/>
                <a:pt x="297182" y="455601"/>
                <a:pt x="300111" y="454904"/>
              </a:cubicBezTo>
              <a:cubicBezTo>
                <a:pt x="300250" y="454904"/>
                <a:pt x="300390" y="454765"/>
                <a:pt x="300390" y="454765"/>
              </a:cubicBezTo>
              <a:cubicBezTo>
                <a:pt x="387549" y="432033"/>
                <a:pt x="452117" y="352683"/>
                <a:pt x="452117" y="258550"/>
              </a:cubicBezTo>
              <a:cubicBezTo>
                <a:pt x="452117" y="226476"/>
                <a:pt x="444865" y="195935"/>
                <a:pt x="430502" y="167486"/>
              </a:cubicBezTo>
              <a:cubicBezTo>
                <a:pt x="430083" y="166510"/>
                <a:pt x="429386" y="165673"/>
                <a:pt x="428689" y="164976"/>
              </a:cubicBezTo>
              <a:lnTo>
                <a:pt x="462716" y="89391"/>
              </a:lnTo>
              <a:lnTo>
                <a:pt x="502879" y="68473"/>
              </a:lnTo>
              <a:cubicBezTo>
                <a:pt x="534814" y="52435"/>
                <a:pt x="548900" y="32493"/>
                <a:pt x="540811" y="15061"/>
              </a:cubicBezTo>
              <a:close/>
              <a:moveTo>
                <a:pt x="366352" y="46160"/>
              </a:moveTo>
              <a:lnTo>
                <a:pt x="399542" y="47415"/>
              </a:lnTo>
              <a:cubicBezTo>
                <a:pt x="384063" y="55224"/>
                <a:pt x="368583" y="63313"/>
                <a:pt x="354777" y="70425"/>
              </a:cubicBezTo>
              <a:cubicBezTo>
                <a:pt x="354219" y="69867"/>
                <a:pt x="353522" y="69309"/>
                <a:pt x="352686" y="68751"/>
              </a:cubicBezTo>
              <a:lnTo>
                <a:pt x="343900" y="58153"/>
              </a:lnTo>
              <a:lnTo>
                <a:pt x="366352" y="46160"/>
              </a:lnTo>
              <a:close/>
              <a:moveTo>
                <a:pt x="318658" y="89391"/>
              </a:moveTo>
              <a:cubicBezTo>
                <a:pt x="314893" y="91343"/>
                <a:pt x="311825" y="92877"/>
                <a:pt x="309594" y="94132"/>
              </a:cubicBezTo>
              <a:lnTo>
                <a:pt x="280587" y="78514"/>
              </a:lnTo>
              <a:cubicBezTo>
                <a:pt x="293557" y="80605"/>
                <a:pt x="306247" y="84371"/>
                <a:pt x="318658" y="89391"/>
              </a:cubicBezTo>
              <a:close/>
              <a:moveTo>
                <a:pt x="268036" y="76840"/>
              </a:moveTo>
              <a:cubicBezTo>
                <a:pt x="267478" y="77119"/>
                <a:pt x="266781" y="77258"/>
                <a:pt x="266223" y="77537"/>
              </a:cubicBezTo>
              <a:lnTo>
                <a:pt x="241400" y="90507"/>
              </a:lnTo>
              <a:cubicBezTo>
                <a:pt x="238053" y="92319"/>
                <a:pt x="235543" y="95388"/>
                <a:pt x="234567" y="98874"/>
              </a:cubicBezTo>
              <a:cubicBezTo>
                <a:pt x="224665" y="98874"/>
                <a:pt x="216158" y="98874"/>
                <a:pt x="209046" y="98874"/>
              </a:cubicBezTo>
              <a:cubicBezTo>
                <a:pt x="186176" y="98874"/>
                <a:pt x="175716" y="98874"/>
                <a:pt x="172370" y="98874"/>
              </a:cubicBezTo>
              <a:lnTo>
                <a:pt x="165954" y="96085"/>
              </a:lnTo>
              <a:cubicBezTo>
                <a:pt x="191057" y="83115"/>
                <a:pt x="219505" y="75864"/>
                <a:pt x="249489" y="75864"/>
              </a:cubicBezTo>
              <a:cubicBezTo>
                <a:pt x="255903" y="75864"/>
                <a:pt x="262039" y="76282"/>
                <a:pt x="268036" y="76840"/>
              </a:cubicBezTo>
              <a:close/>
              <a:moveTo>
                <a:pt x="226757" y="263153"/>
              </a:moveTo>
              <a:lnTo>
                <a:pt x="257019" y="281700"/>
              </a:lnTo>
              <a:cubicBezTo>
                <a:pt x="268036" y="288534"/>
                <a:pt x="282121" y="286860"/>
                <a:pt x="291186" y="277656"/>
              </a:cubicBezTo>
              <a:cubicBezTo>
                <a:pt x="292859" y="275982"/>
                <a:pt x="295230" y="275006"/>
                <a:pt x="297600" y="275006"/>
              </a:cubicBezTo>
              <a:lnTo>
                <a:pt x="331628" y="275006"/>
              </a:lnTo>
              <a:cubicBezTo>
                <a:pt x="336648" y="275006"/>
                <a:pt x="341110" y="277795"/>
                <a:pt x="343342" y="282118"/>
              </a:cubicBezTo>
              <a:lnTo>
                <a:pt x="358542" y="311404"/>
              </a:lnTo>
              <a:cubicBezTo>
                <a:pt x="361192" y="316564"/>
                <a:pt x="366492" y="319771"/>
                <a:pt x="372349" y="319771"/>
              </a:cubicBezTo>
              <a:lnTo>
                <a:pt x="379322" y="319771"/>
              </a:lnTo>
              <a:cubicBezTo>
                <a:pt x="380019" y="319771"/>
                <a:pt x="380577" y="320329"/>
                <a:pt x="380577" y="321027"/>
              </a:cubicBezTo>
              <a:cubicBezTo>
                <a:pt x="380577" y="324374"/>
                <a:pt x="378624" y="327442"/>
                <a:pt x="375417" y="328836"/>
              </a:cubicBezTo>
              <a:lnTo>
                <a:pt x="358682" y="336227"/>
              </a:lnTo>
              <a:cubicBezTo>
                <a:pt x="348781" y="340690"/>
                <a:pt x="349199" y="350731"/>
                <a:pt x="349478" y="356727"/>
              </a:cubicBezTo>
              <a:cubicBezTo>
                <a:pt x="349757" y="363003"/>
                <a:pt x="349618" y="367186"/>
                <a:pt x="346271" y="371231"/>
              </a:cubicBezTo>
              <a:lnTo>
                <a:pt x="292301" y="436217"/>
              </a:lnTo>
              <a:cubicBezTo>
                <a:pt x="291883" y="436356"/>
                <a:pt x="291464" y="436496"/>
                <a:pt x="291046" y="436496"/>
              </a:cubicBezTo>
              <a:cubicBezTo>
                <a:pt x="289373" y="436914"/>
                <a:pt x="287699" y="437193"/>
                <a:pt x="286026" y="437612"/>
              </a:cubicBezTo>
              <a:cubicBezTo>
                <a:pt x="285747" y="437612"/>
                <a:pt x="285328" y="437751"/>
                <a:pt x="285050" y="437751"/>
              </a:cubicBezTo>
              <a:lnTo>
                <a:pt x="285050" y="423666"/>
              </a:lnTo>
              <a:cubicBezTo>
                <a:pt x="285747" y="421016"/>
                <a:pt x="288676" y="413067"/>
                <a:pt x="290628" y="407628"/>
              </a:cubicBezTo>
              <a:cubicBezTo>
                <a:pt x="296485" y="391312"/>
                <a:pt x="297182" y="388941"/>
                <a:pt x="297182" y="386292"/>
              </a:cubicBezTo>
              <a:lnTo>
                <a:pt x="297182" y="366071"/>
              </a:lnTo>
              <a:cubicBezTo>
                <a:pt x="297182" y="359516"/>
                <a:pt x="293138" y="353659"/>
                <a:pt x="287002" y="351428"/>
              </a:cubicBezTo>
              <a:lnTo>
                <a:pt x="267199" y="344037"/>
              </a:lnTo>
              <a:cubicBezTo>
                <a:pt x="262876" y="342363"/>
                <a:pt x="259808" y="338180"/>
                <a:pt x="259808" y="333578"/>
              </a:cubicBezTo>
              <a:lnTo>
                <a:pt x="259808" y="325908"/>
              </a:lnTo>
              <a:cubicBezTo>
                <a:pt x="259808" y="323397"/>
                <a:pt x="259808" y="321724"/>
                <a:pt x="259808" y="320887"/>
              </a:cubicBezTo>
              <a:cubicBezTo>
                <a:pt x="263573" y="301084"/>
                <a:pt x="252696" y="281561"/>
                <a:pt x="233730" y="274309"/>
              </a:cubicBezTo>
              <a:lnTo>
                <a:pt x="193009" y="258969"/>
              </a:lnTo>
              <a:lnTo>
                <a:pt x="183944" y="217690"/>
              </a:lnTo>
              <a:cubicBezTo>
                <a:pt x="182410" y="210578"/>
                <a:pt x="175995" y="205418"/>
                <a:pt x="168744" y="205418"/>
              </a:cubicBezTo>
              <a:lnTo>
                <a:pt x="155635" y="205418"/>
              </a:lnTo>
              <a:cubicBezTo>
                <a:pt x="173625" y="192727"/>
                <a:pt x="193009" y="180595"/>
                <a:pt x="213230" y="169438"/>
              </a:cubicBezTo>
              <a:cubicBezTo>
                <a:pt x="232475" y="158840"/>
                <a:pt x="252138" y="149217"/>
                <a:pt x="271801" y="140850"/>
              </a:cubicBezTo>
              <a:lnTo>
                <a:pt x="299553" y="164836"/>
              </a:lnTo>
              <a:cubicBezTo>
                <a:pt x="302063" y="166928"/>
                <a:pt x="305131" y="168183"/>
                <a:pt x="308478" y="168183"/>
              </a:cubicBezTo>
              <a:cubicBezTo>
                <a:pt x="309594" y="168183"/>
                <a:pt x="310709" y="168044"/>
                <a:pt x="311686" y="167765"/>
              </a:cubicBezTo>
              <a:lnTo>
                <a:pt x="311686" y="173622"/>
              </a:lnTo>
              <a:lnTo>
                <a:pt x="301784" y="173622"/>
              </a:lnTo>
              <a:cubicBezTo>
                <a:pt x="296067" y="173622"/>
                <a:pt x="290767" y="176690"/>
                <a:pt x="288118" y="181850"/>
              </a:cubicBezTo>
              <a:lnTo>
                <a:pt x="266920" y="221176"/>
              </a:lnTo>
              <a:cubicBezTo>
                <a:pt x="263294" y="216295"/>
                <a:pt x="259669" y="212530"/>
                <a:pt x="252557" y="212530"/>
              </a:cubicBezTo>
              <a:lnTo>
                <a:pt x="234985" y="212530"/>
              </a:lnTo>
              <a:cubicBezTo>
                <a:pt x="226339" y="212530"/>
                <a:pt x="219366" y="219503"/>
                <a:pt x="219366" y="228149"/>
              </a:cubicBezTo>
              <a:lnTo>
                <a:pt x="219366" y="249625"/>
              </a:lnTo>
              <a:cubicBezTo>
                <a:pt x="219366" y="255204"/>
                <a:pt x="222155" y="260363"/>
                <a:pt x="226757" y="263153"/>
              </a:cubicBezTo>
              <a:close/>
              <a:moveTo>
                <a:pt x="203608" y="152425"/>
              </a:moveTo>
              <a:cubicBezTo>
                <a:pt x="181016" y="164976"/>
                <a:pt x="159400" y="178643"/>
                <a:pt x="139458" y="192867"/>
              </a:cubicBezTo>
              <a:lnTo>
                <a:pt x="131648" y="175435"/>
              </a:lnTo>
              <a:cubicBezTo>
                <a:pt x="132067" y="174598"/>
                <a:pt x="132485" y="173483"/>
                <a:pt x="133043" y="172506"/>
              </a:cubicBezTo>
              <a:cubicBezTo>
                <a:pt x="133601" y="171251"/>
                <a:pt x="134298" y="169857"/>
                <a:pt x="135135" y="168183"/>
              </a:cubicBezTo>
              <a:cubicBezTo>
                <a:pt x="140853" y="155772"/>
                <a:pt x="138342" y="140990"/>
                <a:pt x="128859" y="131088"/>
              </a:cubicBezTo>
              <a:lnTo>
                <a:pt x="124118" y="126068"/>
              </a:lnTo>
              <a:cubicBezTo>
                <a:pt x="130672" y="119792"/>
                <a:pt x="137785" y="114075"/>
                <a:pt x="145176" y="108915"/>
              </a:cubicBezTo>
              <a:lnTo>
                <a:pt x="165397" y="117561"/>
              </a:lnTo>
              <a:cubicBezTo>
                <a:pt x="167907" y="118956"/>
                <a:pt x="170138" y="118956"/>
                <a:pt x="175298" y="118956"/>
              </a:cubicBezTo>
              <a:cubicBezTo>
                <a:pt x="180318" y="118956"/>
                <a:pt x="190080" y="118956"/>
                <a:pt x="209464" y="118956"/>
              </a:cubicBezTo>
              <a:cubicBezTo>
                <a:pt x="219087" y="118956"/>
                <a:pt x="231220" y="118956"/>
                <a:pt x="246141" y="118956"/>
              </a:cubicBezTo>
              <a:lnTo>
                <a:pt x="255206" y="126765"/>
              </a:lnTo>
              <a:cubicBezTo>
                <a:pt x="237774" y="134435"/>
                <a:pt x="220482" y="143081"/>
                <a:pt x="203608" y="152425"/>
              </a:cubicBezTo>
              <a:close/>
              <a:moveTo>
                <a:pt x="110312" y="140711"/>
              </a:moveTo>
              <a:lnTo>
                <a:pt x="114495" y="145034"/>
              </a:lnTo>
              <a:cubicBezTo>
                <a:pt x="118261" y="148938"/>
                <a:pt x="119237" y="154796"/>
                <a:pt x="117006" y="159677"/>
              </a:cubicBezTo>
              <a:cubicBezTo>
                <a:pt x="116308" y="161211"/>
                <a:pt x="115611" y="162605"/>
                <a:pt x="115053" y="163860"/>
              </a:cubicBezTo>
              <a:cubicBezTo>
                <a:pt x="111985" y="170415"/>
                <a:pt x="109615" y="175156"/>
                <a:pt x="112683" y="181850"/>
              </a:cubicBezTo>
              <a:lnTo>
                <a:pt x="123142" y="205279"/>
              </a:lnTo>
              <a:cubicBezTo>
                <a:pt x="102363" y="221316"/>
                <a:pt x="83536" y="238050"/>
                <a:pt x="67220" y="255204"/>
              </a:cubicBezTo>
              <a:cubicBezTo>
                <a:pt x="67917" y="211554"/>
                <a:pt x="83954" y="171670"/>
                <a:pt x="110312" y="140711"/>
              </a:cubicBezTo>
              <a:close/>
              <a:moveTo>
                <a:pt x="79353" y="438309"/>
              </a:moveTo>
              <a:cubicBezTo>
                <a:pt x="61224" y="435101"/>
                <a:pt x="37376" y="427152"/>
                <a:pt x="26360" y="407071"/>
              </a:cubicBezTo>
              <a:cubicBezTo>
                <a:pt x="12693" y="382526"/>
                <a:pt x="22176" y="345013"/>
                <a:pt x="52019" y="303734"/>
              </a:cubicBezTo>
              <a:cubicBezTo>
                <a:pt x="65267" y="361469"/>
                <a:pt x="103060" y="409860"/>
                <a:pt x="153961" y="437193"/>
              </a:cubicBezTo>
              <a:cubicBezTo>
                <a:pt x="125791" y="441656"/>
                <a:pt x="100271" y="442074"/>
                <a:pt x="79353" y="438309"/>
              </a:cubicBezTo>
              <a:close/>
              <a:moveTo>
                <a:pt x="68615" y="283095"/>
              </a:moveTo>
              <a:cubicBezTo>
                <a:pt x="86465" y="262455"/>
                <a:pt x="108220" y="242095"/>
                <a:pt x="132903" y="222711"/>
              </a:cubicBezTo>
              <a:cubicBezTo>
                <a:pt x="135553" y="224802"/>
                <a:pt x="138900" y="225918"/>
                <a:pt x="142386" y="225918"/>
              </a:cubicBezTo>
              <a:lnTo>
                <a:pt x="165257" y="225918"/>
              </a:lnTo>
              <a:lnTo>
                <a:pt x="174043" y="265942"/>
              </a:lnTo>
              <a:cubicBezTo>
                <a:pt x="175158" y="271102"/>
                <a:pt x="178784" y="275285"/>
                <a:pt x="183666" y="277098"/>
              </a:cubicBezTo>
              <a:lnTo>
                <a:pt x="226618" y="293275"/>
              </a:lnTo>
              <a:cubicBezTo>
                <a:pt x="236519" y="297040"/>
                <a:pt x="242097" y="307221"/>
                <a:pt x="240005" y="317540"/>
              </a:cubicBezTo>
              <a:cubicBezTo>
                <a:pt x="239726" y="319074"/>
                <a:pt x="239726" y="319074"/>
                <a:pt x="239726" y="326047"/>
              </a:cubicBezTo>
              <a:lnTo>
                <a:pt x="239726" y="333717"/>
              </a:lnTo>
              <a:cubicBezTo>
                <a:pt x="239726" y="346686"/>
                <a:pt x="247954" y="358540"/>
                <a:pt x="260087" y="363003"/>
              </a:cubicBezTo>
              <a:lnTo>
                <a:pt x="277100" y="369278"/>
              </a:lnTo>
              <a:lnTo>
                <a:pt x="277100" y="385316"/>
              </a:lnTo>
              <a:cubicBezTo>
                <a:pt x="276403" y="387965"/>
                <a:pt x="273614" y="395635"/>
                <a:pt x="271662" y="400935"/>
              </a:cubicBezTo>
              <a:cubicBezTo>
                <a:pt x="265665" y="417530"/>
                <a:pt x="264968" y="420040"/>
                <a:pt x="264968" y="422690"/>
              </a:cubicBezTo>
              <a:lnTo>
                <a:pt x="264968" y="440540"/>
              </a:lnTo>
              <a:cubicBezTo>
                <a:pt x="259948" y="440958"/>
                <a:pt x="254787" y="441237"/>
                <a:pt x="249628" y="441237"/>
              </a:cubicBezTo>
              <a:cubicBezTo>
                <a:pt x="157169" y="441377"/>
                <a:pt x="80468" y="372346"/>
                <a:pt x="68615" y="283095"/>
              </a:cubicBezTo>
              <a:close/>
              <a:moveTo>
                <a:pt x="432454" y="258690"/>
              </a:moveTo>
              <a:cubicBezTo>
                <a:pt x="432454" y="330928"/>
                <a:pt x="390338" y="393544"/>
                <a:pt x="329257" y="423247"/>
              </a:cubicBezTo>
              <a:lnTo>
                <a:pt x="361610" y="384200"/>
              </a:lnTo>
              <a:cubicBezTo>
                <a:pt x="370117" y="373880"/>
                <a:pt x="369699" y="362724"/>
                <a:pt x="369420" y="356030"/>
              </a:cubicBezTo>
              <a:cubicBezTo>
                <a:pt x="369420" y="355193"/>
                <a:pt x="369281" y="354357"/>
                <a:pt x="369281" y="353520"/>
              </a:cubicBezTo>
              <a:lnTo>
                <a:pt x="383505" y="347244"/>
              </a:lnTo>
              <a:cubicBezTo>
                <a:pt x="393825" y="342642"/>
                <a:pt x="400519" y="332462"/>
                <a:pt x="400519" y="321166"/>
              </a:cubicBezTo>
              <a:cubicBezTo>
                <a:pt x="400519" y="309452"/>
                <a:pt x="391036" y="299969"/>
                <a:pt x="379322" y="299969"/>
              </a:cubicBezTo>
              <a:lnTo>
                <a:pt x="374999" y="299969"/>
              </a:lnTo>
              <a:lnTo>
                <a:pt x="361053" y="273054"/>
              </a:lnTo>
              <a:cubicBezTo>
                <a:pt x="355335" y="262037"/>
                <a:pt x="344039" y="255064"/>
                <a:pt x="331488" y="255064"/>
              </a:cubicBezTo>
              <a:lnTo>
                <a:pt x="297461" y="255064"/>
              </a:lnTo>
              <a:cubicBezTo>
                <a:pt x="289651" y="255064"/>
                <a:pt x="282400" y="258132"/>
                <a:pt x="276822" y="263571"/>
              </a:cubicBezTo>
              <a:cubicBezTo>
                <a:pt x="274312" y="266081"/>
                <a:pt x="270267" y="266639"/>
                <a:pt x="267199" y="264687"/>
              </a:cubicBezTo>
              <a:lnTo>
                <a:pt x="239029" y="247394"/>
              </a:lnTo>
              <a:lnTo>
                <a:pt x="239029" y="232751"/>
              </a:lnTo>
              <a:lnTo>
                <a:pt x="249907" y="232751"/>
              </a:lnTo>
              <a:cubicBezTo>
                <a:pt x="250464" y="233448"/>
                <a:pt x="251162" y="234425"/>
                <a:pt x="251720" y="235261"/>
              </a:cubicBezTo>
              <a:cubicBezTo>
                <a:pt x="252557" y="236377"/>
                <a:pt x="253393" y="237632"/>
                <a:pt x="254509" y="239027"/>
              </a:cubicBezTo>
              <a:cubicBezTo>
                <a:pt x="257716" y="243350"/>
                <a:pt x="262737" y="245581"/>
                <a:pt x="268176" y="245163"/>
              </a:cubicBezTo>
              <a:cubicBezTo>
                <a:pt x="273475" y="244745"/>
                <a:pt x="278216" y="241676"/>
                <a:pt x="280726" y="237074"/>
              </a:cubicBezTo>
              <a:lnTo>
                <a:pt x="304016" y="193983"/>
              </a:lnTo>
              <a:lnTo>
                <a:pt x="315730" y="193983"/>
              </a:lnTo>
              <a:cubicBezTo>
                <a:pt x="324376" y="193983"/>
                <a:pt x="331349" y="187010"/>
                <a:pt x="331349" y="178364"/>
              </a:cubicBezTo>
              <a:lnTo>
                <a:pt x="331349" y="163163"/>
              </a:lnTo>
              <a:cubicBezTo>
                <a:pt x="336369" y="161768"/>
                <a:pt x="340274" y="157864"/>
                <a:pt x="341808" y="152704"/>
              </a:cubicBezTo>
              <a:cubicBezTo>
                <a:pt x="341808" y="152704"/>
                <a:pt x="341808" y="152704"/>
                <a:pt x="341808" y="152704"/>
              </a:cubicBezTo>
              <a:lnTo>
                <a:pt x="361053" y="142663"/>
              </a:lnTo>
              <a:lnTo>
                <a:pt x="368026" y="191751"/>
              </a:lnTo>
              <a:cubicBezTo>
                <a:pt x="368583" y="196214"/>
                <a:pt x="371373" y="199979"/>
                <a:pt x="375277" y="201932"/>
              </a:cubicBezTo>
              <a:cubicBezTo>
                <a:pt x="377230" y="202908"/>
                <a:pt x="379322" y="203466"/>
                <a:pt x="381413" y="203466"/>
              </a:cubicBezTo>
              <a:cubicBezTo>
                <a:pt x="383645" y="203466"/>
                <a:pt x="385876" y="202908"/>
                <a:pt x="387828" y="201792"/>
              </a:cubicBezTo>
              <a:cubicBezTo>
                <a:pt x="394104" y="198445"/>
                <a:pt x="398148" y="196214"/>
                <a:pt x="401913" y="194122"/>
              </a:cubicBezTo>
              <a:cubicBezTo>
                <a:pt x="405678" y="192030"/>
                <a:pt x="409723" y="189799"/>
                <a:pt x="416138" y="186452"/>
              </a:cubicBezTo>
              <a:cubicBezTo>
                <a:pt x="416417" y="186313"/>
                <a:pt x="416835" y="186034"/>
                <a:pt x="417114" y="185894"/>
              </a:cubicBezTo>
              <a:cubicBezTo>
                <a:pt x="427434" y="208765"/>
                <a:pt x="432454" y="233170"/>
                <a:pt x="432454" y="258690"/>
              </a:cubicBezTo>
              <a:close/>
              <a:moveTo>
                <a:pt x="494093" y="50762"/>
              </a:moveTo>
              <a:lnTo>
                <a:pt x="450862" y="73354"/>
              </a:lnTo>
              <a:cubicBezTo>
                <a:pt x="448910" y="74330"/>
                <a:pt x="447236" y="76003"/>
                <a:pt x="446400" y="78095"/>
              </a:cubicBezTo>
              <a:lnTo>
                <a:pt x="405121" y="169857"/>
              </a:lnTo>
              <a:cubicBezTo>
                <a:pt x="399822" y="172785"/>
                <a:pt x="396196" y="174738"/>
                <a:pt x="392709" y="176690"/>
              </a:cubicBezTo>
              <a:cubicBezTo>
                <a:pt x="390896" y="177666"/>
                <a:pt x="388944" y="178643"/>
                <a:pt x="386852" y="179898"/>
              </a:cubicBezTo>
              <a:lnTo>
                <a:pt x="379182" y="125928"/>
              </a:lnTo>
              <a:cubicBezTo>
                <a:pt x="378764" y="122721"/>
                <a:pt x="376672" y="119932"/>
                <a:pt x="373883" y="118398"/>
              </a:cubicBezTo>
              <a:cubicBezTo>
                <a:pt x="372488" y="117701"/>
                <a:pt x="370815" y="117282"/>
                <a:pt x="369281" y="117282"/>
              </a:cubicBezTo>
              <a:cubicBezTo>
                <a:pt x="367747" y="117282"/>
                <a:pt x="366073" y="117701"/>
                <a:pt x="364679" y="118398"/>
              </a:cubicBezTo>
              <a:lnTo>
                <a:pt x="309315" y="147265"/>
              </a:lnTo>
              <a:lnTo>
                <a:pt x="262597" y="106962"/>
              </a:lnTo>
              <a:lnTo>
                <a:pt x="262597" y="102081"/>
              </a:lnTo>
              <a:lnTo>
                <a:pt x="272499" y="96922"/>
              </a:lnTo>
              <a:lnTo>
                <a:pt x="304713" y="114353"/>
              </a:lnTo>
              <a:cubicBezTo>
                <a:pt x="307641" y="115888"/>
                <a:pt x="311128" y="115888"/>
                <a:pt x="314056" y="114353"/>
              </a:cubicBezTo>
              <a:cubicBezTo>
                <a:pt x="315590" y="113517"/>
                <a:pt x="461042" y="37095"/>
                <a:pt x="491444" y="24963"/>
              </a:cubicBezTo>
              <a:cubicBezTo>
                <a:pt x="491444" y="24963"/>
                <a:pt x="491583" y="24963"/>
                <a:pt x="491723" y="24823"/>
              </a:cubicBezTo>
              <a:cubicBezTo>
                <a:pt x="494930" y="23429"/>
                <a:pt x="504832" y="19942"/>
                <a:pt x="513059" y="19942"/>
              </a:cubicBezTo>
              <a:cubicBezTo>
                <a:pt x="518080" y="19942"/>
                <a:pt x="521287" y="21197"/>
                <a:pt x="522682" y="23568"/>
              </a:cubicBezTo>
              <a:cubicBezTo>
                <a:pt x="524774" y="28588"/>
                <a:pt x="514593" y="40303"/>
                <a:pt x="494093" y="50762"/>
              </a:cubicBezTo>
              <a:close/>
            </a:path>
          </a:pathLst>
        </a:custGeom>
        <a:solidFill>
          <a:srgbClr val="3C3C3B"/>
        </a:solidFill>
        <a:ln w="13936" cap="flat">
          <a:noFill/>
          <a:prstDash val="solid"/>
          <a:miter/>
        </a:ln>
      </xdr:spPr>
      <xdr:txBody>
        <a:bodyPr wrap="square" rtlCol="0" anchor="ct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l-NL"/>
        </a:p>
      </xdr:txBody>
    </xdr:sp>
    <xdr:clientData/>
  </xdr:twoCellAnchor>
  <xdr:twoCellAnchor>
    <xdr:from>
      <xdr:col>4</xdr:col>
      <xdr:colOff>3032397</xdr:colOff>
      <xdr:row>104</xdr:row>
      <xdr:rowOff>130100</xdr:rowOff>
    </xdr:from>
    <xdr:to>
      <xdr:col>4</xdr:col>
      <xdr:colOff>3410570</xdr:colOff>
      <xdr:row>107</xdr:row>
      <xdr:rowOff>46467</xdr:rowOff>
    </xdr:to>
    <xdr:grpSp>
      <xdr:nvGrpSpPr>
        <xdr:cNvPr id="29" name="Groep 265">
          <a:extLst>
            <a:ext uri="{FF2B5EF4-FFF2-40B4-BE49-F238E27FC236}">
              <a16:creationId xmlns:a16="http://schemas.microsoft.com/office/drawing/2014/main" id="{00000000-0008-0000-0100-00001D000000}"/>
            </a:ext>
          </a:extLst>
        </xdr:cNvPr>
        <xdr:cNvGrpSpPr/>
      </xdr:nvGrpSpPr>
      <xdr:grpSpPr>
        <a:xfrm>
          <a:off x="4110083" y="16382471"/>
          <a:ext cx="378173" cy="373567"/>
          <a:chOff x="3187852" y="1972132"/>
          <a:chExt cx="334693" cy="320748"/>
        </a:xfrm>
      </xdr:grpSpPr>
      <xdr:sp macro="" textlink="">
        <xdr:nvSpPr>
          <xdr:cNvPr id="30" name="Vrije vorm 120">
            <a:extLst>
              <a:ext uri="{FF2B5EF4-FFF2-40B4-BE49-F238E27FC236}">
                <a16:creationId xmlns:a16="http://schemas.microsoft.com/office/drawing/2014/main" id="{00000000-0008-0000-0100-00001E000000}"/>
              </a:ext>
            </a:extLst>
          </xdr:cNvPr>
          <xdr:cNvSpPr/>
        </xdr:nvSpPr>
        <xdr:spPr>
          <a:xfrm>
            <a:off x="3305273" y="2134876"/>
            <a:ext cx="13946" cy="13946"/>
          </a:xfrm>
          <a:custGeom>
            <a:avLst/>
            <a:gdLst>
              <a:gd name="connsiteX0" fmla="*/ 5299 w 0"/>
              <a:gd name="connsiteY0" fmla="*/ 2650 h 0"/>
              <a:gd name="connsiteX1" fmla="*/ 2650 w 0"/>
              <a:gd name="connsiteY1" fmla="*/ 0 h 0"/>
              <a:gd name="connsiteX2" fmla="*/ 0 w 0"/>
              <a:gd name="connsiteY2" fmla="*/ 2650 h 0"/>
              <a:gd name="connsiteX3" fmla="*/ 5299 w 0"/>
              <a:gd name="connsiteY3" fmla="*/ 2650 h 0"/>
            </a:gdLst>
            <a:ahLst/>
            <a:cxnLst>
              <a:cxn ang="0">
                <a:pos x="connsiteX0" y="connsiteY0"/>
              </a:cxn>
              <a:cxn ang="0">
                <a:pos x="connsiteX1" y="connsiteY1"/>
              </a:cxn>
              <a:cxn ang="0">
                <a:pos x="connsiteX2" y="connsiteY2"/>
              </a:cxn>
              <a:cxn ang="0">
                <a:pos x="connsiteX3" y="connsiteY3"/>
              </a:cxn>
            </a:cxnLst>
            <a:rect l="l" t="t" r="r" b="b"/>
            <a:pathLst>
              <a:path>
                <a:moveTo>
                  <a:pt x="5299" y="2650"/>
                </a:moveTo>
                <a:cubicBezTo>
                  <a:pt x="5299" y="1255"/>
                  <a:pt x="4184" y="0"/>
                  <a:pt x="2650" y="0"/>
                </a:cubicBezTo>
                <a:cubicBezTo>
                  <a:pt x="1255" y="0"/>
                  <a:pt x="0" y="1116"/>
                  <a:pt x="0" y="2650"/>
                </a:cubicBezTo>
                <a:cubicBezTo>
                  <a:pt x="139" y="5439"/>
                  <a:pt x="5299" y="5439"/>
                  <a:pt x="5299" y="2650"/>
                </a:cubicBezTo>
                <a:close/>
              </a:path>
            </a:pathLst>
          </a:custGeom>
          <a:solidFill>
            <a:srgbClr val="3C3C3B"/>
          </a:solidFill>
          <a:ln w="13936" cap="flat">
            <a:noFill/>
            <a:prstDash val="solid"/>
            <a:miter/>
          </a:ln>
        </xdr:spPr>
        <xdr:txBody>
          <a:bodyPr wrap="square" rtlCol="0" anchor="ct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l-NL"/>
          </a:p>
        </xdr:txBody>
      </xdr:sp>
      <xdr:sp macro="" textlink="">
        <xdr:nvSpPr>
          <xdr:cNvPr id="31" name="Vrije vorm 121">
            <a:extLst>
              <a:ext uri="{FF2B5EF4-FFF2-40B4-BE49-F238E27FC236}">
                <a16:creationId xmlns:a16="http://schemas.microsoft.com/office/drawing/2014/main" id="{00000000-0008-0000-0100-00001F000000}"/>
              </a:ext>
            </a:extLst>
          </xdr:cNvPr>
          <xdr:cNvSpPr/>
        </xdr:nvSpPr>
        <xdr:spPr>
          <a:xfrm>
            <a:off x="3399266" y="2134876"/>
            <a:ext cx="13946" cy="13946"/>
          </a:xfrm>
          <a:custGeom>
            <a:avLst/>
            <a:gdLst>
              <a:gd name="connsiteX0" fmla="*/ 5299 w 0"/>
              <a:gd name="connsiteY0" fmla="*/ 2650 h 0"/>
              <a:gd name="connsiteX1" fmla="*/ 2650 w 0"/>
              <a:gd name="connsiteY1" fmla="*/ 0 h 0"/>
              <a:gd name="connsiteX2" fmla="*/ 0 w 0"/>
              <a:gd name="connsiteY2" fmla="*/ 2650 h 0"/>
              <a:gd name="connsiteX3" fmla="*/ 5299 w 0"/>
              <a:gd name="connsiteY3" fmla="*/ 2650 h 0"/>
            </a:gdLst>
            <a:ahLst/>
            <a:cxnLst>
              <a:cxn ang="0">
                <a:pos x="connsiteX0" y="connsiteY0"/>
              </a:cxn>
              <a:cxn ang="0">
                <a:pos x="connsiteX1" y="connsiteY1"/>
              </a:cxn>
              <a:cxn ang="0">
                <a:pos x="connsiteX2" y="connsiteY2"/>
              </a:cxn>
              <a:cxn ang="0">
                <a:pos x="connsiteX3" y="connsiteY3"/>
              </a:cxn>
            </a:cxnLst>
            <a:rect l="l" t="t" r="r" b="b"/>
            <a:pathLst>
              <a:path>
                <a:moveTo>
                  <a:pt x="5299" y="2650"/>
                </a:moveTo>
                <a:cubicBezTo>
                  <a:pt x="5299" y="1255"/>
                  <a:pt x="4184" y="0"/>
                  <a:pt x="2650" y="0"/>
                </a:cubicBezTo>
                <a:cubicBezTo>
                  <a:pt x="1255" y="0"/>
                  <a:pt x="0" y="1116"/>
                  <a:pt x="0" y="2650"/>
                </a:cubicBezTo>
                <a:cubicBezTo>
                  <a:pt x="140" y="5439"/>
                  <a:pt x="5299" y="5439"/>
                  <a:pt x="5299" y="2650"/>
                </a:cubicBezTo>
                <a:close/>
              </a:path>
            </a:pathLst>
          </a:custGeom>
          <a:solidFill>
            <a:srgbClr val="3C3C3B"/>
          </a:solidFill>
          <a:ln w="13936" cap="flat">
            <a:noFill/>
            <a:prstDash val="solid"/>
            <a:miter/>
          </a:ln>
        </xdr:spPr>
        <xdr:txBody>
          <a:bodyPr wrap="square" rtlCol="0" anchor="ct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l-NL"/>
          </a:p>
        </xdr:txBody>
      </xdr:sp>
      <xdr:sp macro="" textlink="">
        <xdr:nvSpPr>
          <xdr:cNvPr id="32" name="Vrije vorm 122">
            <a:extLst>
              <a:ext uri="{FF2B5EF4-FFF2-40B4-BE49-F238E27FC236}">
                <a16:creationId xmlns:a16="http://schemas.microsoft.com/office/drawing/2014/main" id="{00000000-0008-0000-0100-000020000000}"/>
              </a:ext>
            </a:extLst>
          </xdr:cNvPr>
          <xdr:cNvSpPr/>
        </xdr:nvSpPr>
        <xdr:spPr>
          <a:xfrm>
            <a:off x="3187852" y="1972132"/>
            <a:ext cx="334693" cy="320748"/>
          </a:xfrm>
          <a:custGeom>
            <a:avLst/>
            <a:gdLst>
              <a:gd name="connsiteX0" fmla="*/ 326465 w 334693"/>
              <a:gd name="connsiteY0" fmla="*/ 0 h 320747"/>
              <a:gd name="connsiteX1" fmla="*/ 9762 w 334693"/>
              <a:gd name="connsiteY1" fmla="*/ 0 h 320747"/>
              <a:gd name="connsiteX2" fmla="*/ 0 w 334693"/>
              <a:gd name="connsiteY2" fmla="*/ 9762 h 320747"/>
              <a:gd name="connsiteX3" fmla="*/ 0 w 334693"/>
              <a:gd name="connsiteY3" fmla="*/ 316843 h 320747"/>
              <a:gd name="connsiteX4" fmla="*/ 9762 w 334693"/>
              <a:gd name="connsiteY4" fmla="*/ 326605 h 320747"/>
              <a:gd name="connsiteX5" fmla="*/ 326465 w 334693"/>
              <a:gd name="connsiteY5" fmla="*/ 326605 h 320747"/>
              <a:gd name="connsiteX6" fmla="*/ 336227 w 334693"/>
              <a:gd name="connsiteY6" fmla="*/ 316843 h 320747"/>
              <a:gd name="connsiteX7" fmla="*/ 336227 w 334693"/>
              <a:gd name="connsiteY7" fmla="*/ 9762 h 320747"/>
              <a:gd name="connsiteX8" fmla="*/ 326465 w 334693"/>
              <a:gd name="connsiteY8" fmla="*/ 0 h 320747"/>
              <a:gd name="connsiteX9" fmla="*/ 316703 w 334693"/>
              <a:gd name="connsiteY9" fmla="*/ 307081 h 320747"/>
              <a:gd name="connsiteX10" fmla="*/ 19524 w 334693"/>
              <a:gd name="connsiteY10" fmla="*/ 307081 h 320747"/>
              <a:gd name="connsiteX11" fmla="*/ 19524 w 334693"/>
              <a:gd name="connsiteY11" fmla="*/ 19663 h 320747"/>
              <a:gd name="connsiteX12" fmla="*/ 316703 w 334693"/>
              <a:gd name="connsiteY12" fmla="*/ 19663 h 320747"/>
              <a:gd name="connsiteX13" fmla="*/ 316703 w 334693"/>
              <a:gd name="connsiteY13" fmla="*/ 307081 h 3207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334693" h="320747">
                <a:moveTo>
                  <a:pt x="326465" y="0"/>
                </a:moveTo>
                <a:lnTo>
                  <a:pt x="9762" y="0"/>
                </a:lnTo>
                <a:cubicBezTo>
                  <a:pt x="4323" y="0"/>
                  <a:pt x="0" y="4323"/>
                  <a:pt x="0" y="9762"/>
                </a:cubicBezTo>
                <a:lnTo>
                  <a:pt x="0" y="316843"/>
                </a:lnTo>
                <a:cubicBezTo>
                  <a:pt x="0" y="322282"/>
                  <a:pt x="4323" y="326605"/>
                  <a:pt x="9762" y="326605"/>
                </a:cubicBezTo>
                <a:lnTo>
                  <a:pt x="326465" y="326605"/>
                </a:lnTo>
                <a:cubicBezTo>
                  <a:pt x="331904" y="326605"/>
                  <a:pt x="336227" y="322282"/>
                  <a:pt x="336227" y="316843"/>
                </a:cubicBezTo>
                <a:lnTo>
                  <a:pt x="336227" y="9762"/>
                </a:lnTo>
                <a:cubicBezTo>
                  <a:pt x="336227" y="4463"/>
                  <a:pt x="331904" y="0"/>
                  <a:pt x="326465" y="0"/>
                </a:cubicBezTo>
                <a:close/>
                <a:moveTo>
                  <a:pt x="316703" y="307081"/>
                </a:moveTo>
                <a:lnTo>
                  <a:pt x="19524" y="307081"/>
                </a:lnTo>
                <a:lnTo>
                  <a:pt x="19524" y="19663"/>
                </a:lnTo>
                <a:lnTo>
                  <a:pt x="316703" y="19663"/>
                </a:lnTo>
                <a:lnTo>
                  <a:pt x="316703" y="307081"/>
                </a:lnTo>
                <a:close/>
              </a:path>
            </a:pathLst>
          </a:custGeom>
          <a:solidFill>
            <a:srgbClr val="3C3C3B"/>
          </a:solidFill>
          <a:ln w="13936" cap="flat">
            <a:noFill/>
            <a:prstDash val="solid"/>
            <a:miter/>
          </a:ln>
        </xdr:spPr>
        <xdr:txBody>
          <a:bodyPr wrap="square" rtlCol="0" anchor="ct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l-NL"/>
          </a:p>
        </xdr:txBody>
      </xdr:sp>
      <xdr:sp macro="" textlink="">
        <xdr:nvSpPr>
          <xdr:cNvPr id="33" name="Vrije vorm 123">
            <a:extLst>
              <a:ext uri="{FF2B5EF4-FFF2-40B4-BE49-F238E27FC236}">
                <a16:creationId xmlns:a16="http://schemas.microsoft.com/office/drawing/2014/main" id="{00000000-0008-0000-0100-000021000000}"/>
              </a:ext>
            </a:extLst>
          </xdr:cNvPr>
          <xdr:cNvSpPr/>
        </xdr:nvSpPr>
        <xdr:spPr>
          <a:xfrm>
            <a:off x="3232756" y="2014129"/>
            <a:ext cx="237074" cy="237074"/>
          </a:xfrm>
          <a:custGeom>
            <a:avLst/>
            <a:gdLst>
              <a:gd name="connsiteX0" fmla="*/ 101663 w 237074"/>
              <a:gd name="connsiteY0" fmla="*/ 242770 h 237074"/>
              <a:gd name="connsiteX1" fmla="*/ 103337 w 237074"/>
              <a:gd name="connsiteY1" fmla="*/ 242910 h 237074"/>
              <a:gd name="connsiteX2" fmla="*/ 109612 w 237074"/>
              <a:gd name="connsiteY2" fmla="*/ 240678 h 237074"/>
              <a:gd name="connsiteX3" fmla="*/ 113099 w 237074"/>
              <a:gd name="connsiteY3" fmla="*/ 233287 h 237074"/>
              <a:gd name="connsiteX4" fmla="*/ 113238 w 237074"/>
              <a:gd name="connsiteY4" fmla="*/ 210277 h 237074"/>
              <a:gd name="connsiteX5" fmla="*/ 134854 w 237074"/>
              <a:gd name="connsiteY5" fmla="*/ 210277 h 237074"/>
              <a:gd name="connsiteX6" fmla="*/ 134854 w 237074"/>
              <a:gd name="connsiteY6" fmla="*/ 232869 h 237074"/>
              <a:gd name="connsiteX7" fmla="*/ 138340 w 237074"/>
              <a:gd name="connsiteY7" fmla="*/ 240400 h 237074"/>
              <a:gd name="connsiteX8" fmla="*/ 146429 w 237074"/>
              <a:gd name="connsiteY8" fmla="*/ 242491 h 237074"/>
              <a:gd name="connsiteX9" fmla="*/ 246418 w 237074"/>
              <a:gd name="connsiteY9" fmla="*/ 121444 h 237074"/>
              <a:gd name="connsiteX10" fmla="*/ 144755 w 237074"/>
              <a:gd name="connsiteY10" fmla="*/ 118 h 237074"/>
              <a:gd name="connsiteX11" fmla="*/ 136806 w 237074"/>
              <a:gd name="connsiteY11" fmla="*/ 2210 h 237074"/>
              <a:gd name="connsiteX12" fmla="*/ 133320 w 237074"/>
              <a:gd name="connsiteY12" fmla="*/ 9601 h 237074"/>
              <a:gd name="connsiteX13" fmla="*/ 133180 w 237074"/>
              <a:gd name="connsiteY13" fmla="*/ 32611 h 237074"/>
              <a:gd name="connsiteX14" fmla="*/ 111565 w 237074"/>
              <a:gd name="connsiteY14" fmla="*/ 32611 h 237074"/>
              <a:gd name="connsiteX15" fmla="*/ 111565 w 237074"/>
              <a:gd name="connsiteY15" fmla="*/ 10019 h 237074"/>
              <a:gd name="connsiteX16" fmla="*/ 108078 w 237074"/>
              <a:gd name="connsiteY16" fmla="*/ 2488 h 237074"/>
              <a:gd name="connsiteX17" fmla="*/ 99990 w 237074"/>
              <a:gd name="connsiteY17" fmla="*/ 397 h 237074"/>
              <a:gd name="connsiteX18" fmla="*/ 0 w 237074"/>
              <a:gd name="connsiteY18" fmla="*/ 121444 h 237074"/>
              <a:gd name="connsiteX19" fmla="*/ 101663 w 237074"/>
              <a:gd name="connsiteY19" fmla="*/ 242770 h 237074"/>
              <a:gd name="connsiteX20" fmla="*/ 91901 w 237074"/>
              <a:gd name="connsiteY20" fmla="*/ 22431 h 237074"/>
              <a:gd name="connsiteX21" fmla="*/ 91901 w 237074"/>
              <a:gd name="connsiteY21" fmla="*/ 42233 h 237074"/>
              <a:gd name="connsiteX22" fmla="*/ 101663 w 237074"/>
              <a:gd name="connsiteY22" fmla="*/ 51995 h 237074"/>
              <a:gd name="connsiteX23" fmla="*/ 142803 w 237074"/>
              <a:gd name="connsiteY23" fmla="*/ 51995 h 237074"/>
              <a:gd name="connsiteX24" fmla="*/ 152565 w 237074"/>
              <a:gd name="connsiteY24" fmla="*/ 42233 h 237074"/>
              <a:gd name="connsiteX25" fmla="*/ 152704 w 237074"/>
              <a:gd name="connsiteY25" fmla="*/ 21873 h 237074"/>
              <a:gd name="connsiteX26" fmla="*/ 226894 w 237074"/>
              <a:gd name="connsiteY26" fmla="*/ 121305 h 237074"/>
              <a:gd name="connsiteX27" fmla="*/ 154378 w 237074"/>
              <a:gd name="connsiteY27" fmla="*/ 220318 h 237074"/>
              <a:gd name="connsiteX28" fmla="*/ 154378 w 237074"/>
              <a:gd name="connsiteY28" fmla="*/ 200376 h 237074"/>
              <a:gd name="connsiteX29" fmla="*/ 144616 w 237074"/>
              <a:gd name="connsiteY29" fmla="*/ 190614 h 237074"/>
              <a:gd name="connsiteX30" fmla="*/ 103476 w 237074"/>
              <a:gd name="connsiteY30" fmla="*/ 190614 h 237074"/>
              <a:gd name="connsiteX31" fmla="*/ 93714 w 237074"/>
              <a:gd name="connsiteY31" fmla="*/ 200376 h 237074"/>
              <a:gd name="connsiteX32" fmla="*/ 93575 w 237074"/>
              <a:gd name="connsiteY32" fmla="*/ 220876 h 237074"/>
              <a:gd name="connsiteX33" fmla="*/ 19385 w 237074"/>
              <a:gd name="connsiteY33" fmla="*/ 121444 h 237074"/>
              <a:gd name="connsiteX34" fmla="*/ 91901 w 237074"/>
              <a:gd name="connsiteY34" fmla="*/ 22431 h 237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237074" h="237074">
                <a:moveTo>
                  <a:pt x="101663" y="242770"/>
                </a:moveTo>
                <a:cubicBezTo>
                  <a:pt x="102221" y="242910"/>
                  <a:pt x="102779" y="242910"/>
                  <a:pt x="103337" y="242910"/>
                </a:cubicBezTo>
                <a:cubicBezTo>
                  <a:pt x="105568" y="242910"/>
                  <a:pt x="107799" y="242073"/>
                  <a:pt x="109612" y="240678"/>
                </a:cubicBezTo>
                <a:cubicBezTo>
                  <a:pt x="111844" y="238866"/>
                  <a:pt x="113099" y="236076"/>
                  <a:pt x="113099" y="233287"/>
                </a:cubicBezTo>
                <a:lnTo>
                  <a:pt x="113238" y="210277"/>
                </a:lnTo>
                <a:lnTo>
                  <a:pt x="134854" y="210277"/>
                </a:lnTo>
                <a:lnTo>
                  <a:pt x="134854" y="232869"/>
                </a:lnTo>
                <a:cubicBezTo>
                  <a:pt x="134854" y="235798"/>
                  <a:pt x="136109" y="238587"/>
                  <a:pt x="138340" y="240400"/>
                </a:cubicBezTo>
                <a:cubicBezTo>
                  <a:pt x="140572" y="242212"/>
                  <a:pt x="143500" y="243049"/>
                  <a:pt x="146429" y="242491"/>
                </a:cubicBezTo>
                <a:cubicBezTo>
                  <a:pt x="204303" y="231474"/>
                  <a:pt x="246418" y="180434"/>
                  <a:pt x="246418" y="121444"/>
                </a:cubicBezTo>
                <a:cubicBezTo>
                  <a:pt x="246418" y="61478"/>
                  <a:pt x="203605" y="10437"/>
                  <a:pt x="144755" y="118"/>
                </a:cubicBezTo>
                <a:cubicBezTo>
                  <a:pt x="141966" y="-301"/>
                  <a:pt x="139038" y="397"/>
                  <a:pt x="136806" y="2210"/>
                </a:cubicBezTo>
                <a:cubicBezTo>
                  <a:pt x="134575" y="4022"/>
                  <a:pt x="133320" y="6812"/>
                  <a:pt x="133320" y="9601"/>
                </a:cubicBezTo>
                <a:lnTo>
                  <a:pt x="133180" y="32611"/>
                </a:lnTo>
                <a:lnTo>
                  <a:pt x="111565" y="32611"/>
                </a:lnTo>
                <a:lnTo>
                  <a:pt x="111565" y="10019"/>
                </a:lnTo>
                <a:cubicBezTo>
                  <a:pt x="111565" y="7090"/>
                  <a:pt x="110310" y="4301"/>
                  <a:pt x="108078" y="2488"/>
                </a:cubicBezTo>
                <a:cubicBezTo>
                  <a:pt x="105847" y="675"/>
                  <a:pt x="102918" y="-161"/>
                  <a:pt x="99990" y="397"/>
                </a:cubicBezTo>
                <a:cubicBezTo>
                  <a:pt x="42116" y="11414"/>
                  <a:pt x="0" y="62454"/>
                  <a:pt x="0" y="121444"/>
                </a:cubicBezTo>
                <a:cubicBezTo>
                  <a:pt x="-139" y="181270"/>
                  <a:pt x="42674" y="232311"/>
                  <a:pt x="101663" y="242770"/>
                </a:cubicBezTo>
                <a:close/>
                <a:moveTo>
                  <a:pt x="91901" y="22431"/>
                </a:moveTo>
                <a:lnTo>
                  <a:pt x="91901" y="42233"/>
                </a:lnTo>
                <a:cubicBezTo>
                  <a:pt x="91901" y="47672"/>
                  <a:pt x="96225" y="51995"/>
                  <a:pt x="101663" y="51995"/>
                </a:cubicBezTo>
                <a:lnTo>
                  <a:pt x="142803" y="51995"/>
                </a:lnTo>
                <a:cubicBezTo>
                  <a:pt x="148241" y="51995"/>
                  <a:pt x="152565" y="47672"/>
                  <a:pt x="152565" y="42233"/>
                </a:cubicBezTo>
                <a:lnTo>
                  <a:pt x="152704" y="21873"/>
                </a:lnTo>
                <a:cubicBezTo>
                  <a:pt x="196354" y="34703"/>
                  <a:pt x="226894" y="74866"/>
                  <a:pt x="226894" y="121305"/>
                </a:cubicBezTo>
                <a:cubicBezTo>
                  <a:pt x="226894" y="167046"/>
                  <a:pt x="197051" y="206930"/>
                  <a:pt x="154378" y="220318"/>
                </a:cubicBezTo>
                <a:lnTo>
                  <a:pt x="154378" y="200376"/>
                </a:lnTo>
                <a:cubicBezTo>
                  <a:pt x="154378" y="194937"/>
                  <a:pt x="150054" y="190614"/>
                  <a:pt x="144616" y="190614"/>
                </a:cubicBezTo>
                <a:lnTo>
                  <a:pt x="103476" y="190614"/>
                </a:lnTo>
                <a:cubicBezTo>
                  <a:pt x="98038" y="190614"/>
                  <a:pt x="93714" y="194937"/>
                  <a:pt x="93714" y="200376"/>
                </a:cubicBezTo>
                <a:lnTo>
                  <a:pt x="93575" y="220876"/>
                </a:lnTo>
                <a:cubicBezTo>
                  <a:pt x="49925" y="208046"/>
                  <a:pt x="19385" y="167883"/>
                  <a:pt x="19385" y="121444"/>
                </a:cubicBezTo>
                <a:cubicBezTo>
                  <a:pt x="19385" y="75703"/>
                  <a:pt x="49368" y="35818"/>
                  <a:pt x="91901" y="22431"/>
                </a:cubicBezTo>
                <a:close/>
              </a:path>
            </a:pathLst>
          </a:custGeom>
          <a:solidFill>
            <a:srgbClr val="3C3C3B"/>
          </a:solidFill>
          <a:ln w="13936" cap="flat">
            <a:noFill/>
            <a:prstDash val="solid"/>
            <a:miter/>
          </a:ln>
        </xdr:spPr>
        <xdr:txBody>
          <a:bodyPr wrap="square" rtlCol="0" anchor="ct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l-NL"/>
          </a:p>
        </xdr:txBody>
      </xdr:sp>
      <xdr:sp macro="" textlink="">
        <xdr:nvSpPr>
          <xdr:cNvPr id="34" name="Vrije vorm 124">
            <a:extLst>
              <a:ext uri="{FF2B5EF4-FFF2-40B4-BE49-F238E27FC236}">
                <a16:creationId xmlns:a16="http://schemas.microsoft.com/office/drawing/2014/main" id="{00000000-0008-0000-0100-000022000000}"/>
              </a:ext>
            </a:extLst>
          </xdr:cNvPr>
          <xdr:cNvSpPr/>
        </xdr:nvSpPr>
        <xdr:spPr>
          <a:xfrm>
            <a:off x="3291186" y="2120652"/>
            <a:ext cx="27891" cy="27891"/>
          </a:xfrm>
          <a:custGeom>
            <a:avLst/>
            <a:gdLst>
              <a:gd name="connsiteX0" fmla="*/ 16876 w 27891"/>
              <a:gd name="connsiteY0" fmla="*/ 33748 h 27891"/>
              <a:gd name="connsiteX1" fmla="*/ 33750 w 27891"/>
              <a:gd name="connsiteY1" fmla="*/ 16874 h 27891"/>
              <a:gd name="connsiteX2" fmla="*/ 16876 w 27891"/>
              <a:gd name="connsiteY2" fmla="*/ 0 h 27891"/>
              <a:gd name="connsiteX3" fmla="*/ 2 w 27891"/>
              <a:gd name="connsiteY3" fmla="*/ 16874 h 27891"/>
              <a:gd name="connsiteX4" fmla="*/ 16876 w 27891"/>
              <a:gd name="connsiteY4" fmla="*/ 33748 h 2789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891" h="27891">
                <a:moveTo>
                  <a:pt x="16876" y="33748"/>
                </a:moveTo>
                <a:cubicBezTo>
                  <a:pt x="26220" y="33748"/>
                  <a:pt x="33750" y="26218"/>
                  <a:pt x="33750" y="16874"/>
                </a:cubicBezTo>
                <a:cubicBezTo>
                  <a:pt x="33750" y="7531"/>
                  <a:pt x="26220" y="0"/>
                  <a:pt x="16876" y="0"/>
                </a:cubicBezTo>
                <a:cubicBezTo>
                  <a:pt x="7533" y="0"/>
                  <a:pt x="2" y="7531"/>
                  <a:pt x="2" y="16874"/>
                </a:cubicBezTo>
                <a:cubicBezTo>
                  <a:pt x="-138" y="26218"/>
                  <a:pt x="7533" y="33748"/>
                  <a:pt x="16876" y="33748"/>
                </a:cubicBezTo>
                <a:close/>
              </a:path>
            </a:pathLst>
          </a:custGeom>
          <a:solidFill>
            <a:srgbClr val="3C3C3B"/>
          </a:solidFill>
          <a:ln w="13936" cap="flat">
            <a:noFill/>
            <a:prstDash val="solid"/>
            <a:miter/>
          </a:ln>
        </xdr:spPr>
        <xdr:txBody>
          <a:bodyPr wrap="square" rtlCol="0" anchor="ct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l-NL"/>
          </a:p>
        </xdr:txBody>
      </xdr:sp>
      <xdr:sp macro="" textlink="">
        <xdr:nvSpPr>
          <xdr:cNvPr id="35" name="Vrije vorm 125">
            <a:extLst>
              <a:ext uri="{FF2B5EF4-FFF2-40B4-BE49-F238E27FC236}">
                <a16:creationId xmlns:a16="http://schemas.microsoft.com/office/drawing/2014/main" id="{00000000-0008-0000-0100-000023000000}"/>
              </a:ext>
            </a:extLst>
          </xdr:cNvPr>
          <xdr:cNvSpPr/>
        </xdr:nvSpPr>
        <xdr:spPr>
          <a:xfrm>
            <a:off x="3385179" y="2120652"/>
            <a:ext cx="27891" cy="27891"/>
          </a:xfrm>
          <a:custGeom>
            <a:avLst/>
            <a:gdLst>
              <a:gd name="connsiteX0" fmla="*/ 16876 w 27891"/>
              <a:gd name="connsiteY0" fmla="*/ 33748 h 27891"/>
              <a:gd name="connsiteX1" fmla="*/ 33750 w 27891"/>
              <a:gd name="connsiteY1" fmla="*/ 16874 h 27891"/>
              <a:gd name="connsiteX2" fmla="*/ 16876 w 27891"/>
              <a:gd name="connsiteY2" fmla="*/ 0 h 27891"/>
              <a:gd name="connsiteX3" fmla="*/ 2 w 27891"/>
              <a:gd name="connsiteY3" fmla="*/ 16874 h 27891"/>
              <a:gd name="connsiteX4" fmla="*/ 16876 w 27891"/>
              <a:gd name="connsiteY4" fmla="*/ 33748 h 2789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891" h="27891">
                <a:moveTo>
                  <a:pt x="16876" y="33748"/>
                </a:moveTo>
                <a:cubicBezTo>
                  <a:pt x="26220" y="33748"/>
                  <a:pt x="33750" y="26218"/>
                  <a:pt x="33750" y="16874"/>
                </a:cubicBezTo>
                <a:cubicBezTo>
                  <a:pt x="33750" y="7531"/>
                  <a:pt x="26220" y="0"/>
                  <a:pt x="16876" y="0"/>
                </a:cubicBezTo>
                <a:cubicBezTo>
                  <a:pt x="7533" y="0"/>
                  <a:pt x="2" y="7531"/>
                  <a:pt x="2" y="16874"/>
                </a:cubicBezTo>
                <a:cubicBezTo>
                  <a:pt x="-138" y="26218"/>
                  <a:pt x="7533" y="33748"/>
                  <a:pt x="16876" y="33748"/>
                </a:cubicBezTo>
                <a:close/>
              </a:path>
            </a:pathLst>
          </a:custGeom>
          <a:solidFill>
            <a:srgbClr val="3C3C3B"/>
          </a:solidFill>
          <a:ln w="13936" cap="flat">
            <a:noFill/>
            <a:prstDash val="solid"/>
            <a:miter/>
          </a:ln>
        </xdr:spPr>
        <xdr:txBody>
          <a:bodyPr wrap="square" rtlCol="0" anchor="ctr"/>
          <a:lstStyle>
            <a:defPPr lvl="0">
              <a:defRPr lang="en-GB"/>
            </a:defPPr>
            <a:lvl1pPr marL="0" lvl="1" algn="l" defTabSz="914400" rtl="0" eaLnBrk="1" latinLnBrk="0" hangingPunct="1">
              <a:defRPr sz="1800" kern="1200">
                <a:solidFill>
                  <a:schemeClr val="tx1"/>
                </a:solidFill>
                <a:latin typeface="+mn-lt"/>
                <a:ea typeface="+mn-ea"/>
                <a:cs typeface="+mn-cs"/>
              </a:defRPr>
            </a:lvl1pPr>
            <a:lvl2pPr marL="457200" lvl="2" algn="l" defTabSz="914400" rtl="0" eaLnBrk="1" latinLnBrk="0" hangingPunct="1">
              <a:defRPr sz="1800" kern="1200">
                <a:solidFill>
                  <a:schemeClr val="tx1"/>
                </a:solidFill>
                <a:latin typeface="+mn-lt"/>
                <a:ea typeface="+mn-ea"/>
                <a:cs typeface="+mn-cs"/>
              </a:defRPr>
            </a:lvl2pPr>
            <a:lvl3pPr marL="914400" lvl="3" algn="l" defTabSz="914400" rtl="0" eaLnBrk="1" latinLnBrk="0" hangingPunct="1">
              <a:defRPr sz="1800" kern="1200">
                <a:solidFill>
                  <a:schemeClr val="tx1"/>
                </a:solidFill>
                <a:latin typeface="+mn-lt"/>
                <a:ea typeface="+mn-ea"/>
                <a:cs typeface="+mn-cs"/>
              </a:defRPr>
            </a:lvl3pPr>
            <a:lvl4pPr marL="1371600" lvl="4"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l-NL"/>
          </a:p>
        </xdr:txBody>
      </xdr:sp>
    </xdr:grpSp>
    <xdr:clientData/>
  </xdr:twoCellAnchor>
  <xdr:twoCellAnchor editAs="oneCell">
    <xdr:from>
      <xdr:col>1</xdr:col>
      <xdr:colOff>180276</xdr:colOff>
      <xdr:row>103</xdr:row>
      <xdr:rowOff>143107</xdr:rowOff>
    </xdr:from>
    <xdr:to>
      <xdr:col>1</xdr:col>
      <xdr:colOff>622609</xdr:colOff>
      <xdr:row>106</xdr:row>
      <xdr:rowOff>139391</xdr:rowOff>
    </xdr:to>
    <xdr:pic>
      <xdr:nvPicPr>
        <xdr:cNvPr id="3" name="Graphic 2" descr="Orca">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356837" y="15875619"/>
          <a:ext cx="442333" cy="442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hyperlink" Target="https://help.drukwerkdeal.nl/hc/nl/articles/209007725-Hoe-bereken-je-het-gewicht-van-enveloppen-" TargetMode="External"/><Relationship Id="rId13" Type="http://schemas.openxmlformats.org/officeDocument/2006/relationships/hyperlink" Target="https://v36.ecoquery.ecoinvent.org/Details/LCIA/5beb9dbb-c6e2-40a6-8500-00f1ce75ce07/06590a66-662a-4885-8494-ad0cf410f956" TargetMode="External"/><Relationship Id="rId3" Type="http://schemas.openxmlformats.org/officeDocument/2006/relationships/hyperlink" Target="https://v36.ecoquery.ecoinvent.org/Details/LCIA/41830679-e276-469c-bc4e-42a3fdcb0ff3/06590a66-662a-4885-8494-ad0cf410f956" TargetMode="External"/><Relationship Id="rId7" Type="http://schemas.openxmlformats.org/officeDocument/2006/relationships/hyperlink" Target="https://v36.ecoquery.ecoinvent.org/Details/LCIA/acf1ee8d-2b0b-48e7-87be-cb728adc873c/06590a66-662a-4885-8494-ad0cf410f956" TargetMode="External"/><Relationship Id="rId12" Type="http://schemas.openxmlformats.org/officeDocument/2006/relationships/hyperlink" Target="https://v36.ecoquery.ecoinvent.org/Details/LCIA/a7f6e96a-8ae0-43e3-b62b-63037acf9ff3/06590a66-662a-4885-8494-ad0cf410f956" TargetMode="External"/><Relationship Id="rId2" Type="http://schemas.openxmlformats.org/officeDocument/2006/relationships/hyperlink" Target="https://v36.ecoquery.ecoinvent.org/Details/LCIA/615e0733-85fa-4a40-8ed4-d77692a58f9d/06590a66-662a-4885-8494-ad0cf410f956" TargetMode="External"/><Relationship Id="rId16" Type="http://schemas.openxmlformats.org/officeDocument/2006/relationships/printerSettings" Target="../printerSettings/printerSettings3.bin"/><Relationship Id="rId1" Type="http://schemas.openxmlformats.org/officeDocument/2006/relationships/hyperlink" Target="https://v36.ecoquery.ecoinvent.org/Details/LCIA/46d6549a-05ec-4635-a803-41a6f70a01f0/06590a66-662a-4885-8494-ad0cf410f956" TargetMode="External"/><Relationship Id="rId6" Type="http://schemas.openxmlformats.org/officeDocument/2006/relationships/hyperlink" Target="https://v36.ecoquery.ecoinvent.org/Details/LCIA/dc2b5455-68e4-4996-935f-4b0ae1424862/06590a66-662a-4885-8494-ad0cf410f956" TargetMode="External"/><Relationship Id="rId11" Type="http://schemas.openxmlformats.org/officeDocument/2006/relationships/hyperlink" Target="http://docplayer.nl/47913883-Het-bereiks-onderzoek-voor-folders-2017.html" TargetMode="External"/><Relationship Id="rId5" Type="http://schemas.openxmlformats.org/officeDocument/2006/relationships/hyperlink" Target="https://v36.ecoquery.ecoinvent.org/Details/LCIA/dc2b5455-68e4-4996-935f-4b0ae1424862/06590a66-662a-4885-8494-ad0cf410f956" TargetMode="External"/><Relationship Id="rId15" Type="http://schemas.openxmlformats.org/officeDocument/2006/relationships/hyperlink" Target="https://v36.ecoquery.ecoinvent.org/Details/LCIA/5ea45bbb-c9f1-4a0a-82ac-67317a8ecc43/06590a66-662a-4885-8494-ad0cf410f956" TargetMode="External"/><Relationship Id="rId10" Type="http://schemas.openxmlformats.org/officeDocument/2006/relationships/hyperlink" Target="https://v36.ecoquery.ecoinvent.org/Details/LCIA/698c80a0-4a4d-46c1-9b18-be3e938287e1/06590a66-662a-4885-8494-ad0cf410f956" TargetMode="External"/><Relationship Id="rId4" Type="http://schemas.openxmlformats.org/officeDocument/2006/relationships/hyperlink" Target="https://v36.ecoquery.ecoinvent.org/Details/LCIA/dc2b5455-68e4-4996-935f-4b0ae1424862/06590a66-662a-4885-8494-ad0cf410f956" TargetMode="External"/><Relationship Id="rId9" Type="http://schemas.openxmlformats.org/officeDocument/2006/relationships/hyperlink" Target="https://help.drukwerkdeal.nl/hc/nl/articles/209007725-Hoe-bereken-je-het-gewicht-van-enveloppen-" TargetMode="External"/><Relationship Id="rId14" Type="http://schemas.openxmlformats.org/officeDocument/2006/relationships/hyperlink" Target="https://v36.ecoquery.ecoinvent.org/Details/LCIA/ea924c34-a7fb-4e82-9d60-6c8fb05db837/06590a66-662a-4885-8494-ad0cf410f95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6D540-7EFE-435E-B0BE-5B55052A5F49}">
  <sheetPr codeName="Sheet1">
    <tabColor theme="1"/>
  </sheetPr>
  <dimension ref="A1:AI93"/>
  <sheetViews>
    <sheetView zoomScale="83" zoomScaleNormal="100" workbookViewId="0">
      <selection activeCell="R38" sqref="R38"/>
    </sheetView>
  </sheetViews>
  <sheetFormatPr defaultColWidth="0" defaultRowHeight="13.8" zeroHeight="1" x14ac:dyDescent="0.3"/>
  <cols>
    <col min="1" max="1" width="2.33203125" style="1" customWidth="1"/>
    <col min="2" max="2" width="1.5546875" style="1" customWidth="1"/>
    <col min="3" max="3" width="10.6640625" style="1" customWidth="1"/>
    <col min="4" max="13" width="9.109375" style="1" customWidth="1"/>
    <col min="14" max="14" width="13.88671875" style="1" customWidth="1"/>
    <col min="15" max="15" width="12.6640625" style="1" customWidth="1"/>
    <col min="16" max="32" width="9.109375" style="1" customWidth="1"/>
    <col min="33" max="35" width="0" style="146" hidden="1" customWidth="1"/>
    <col min="36" max="16384" width="9.109375" style="146" hidden="1"/>
  </cols>
  <sheetData>
    <row r="1" spans="1:32" s="145" customFormat="1" ht="12" x14ac:dyDescent="0.25">
      <c r="A1" s="2"/>
      <c r="B1" s="2"/>
      <c r="C1" s="2"/>
      <c r="D1" s="3"/>
      <c r="E1" s="2"/>
      <c r="F1" s="2"/>
      <c r="G1" s="2"/>
      <c r="H1" s="2"/>
      <c r="I1" s="2"/>
      <c r="J1" s="2"/>
      <c r="K1" s="2"/>
      <c r="L1" s="2"/>
      <c r="M1" s="2"/>
      <c r="N1" s="2"/>
      <c r="O1" s="2"/>
      <c r="P1" s="2"/>
      <c r="Q1" s="2"/>
      <c r="R1" s="2"/>
      <c r="S1" s="2"/>
      <c r="T1" s="2"/>
      <c r="U1" s="2"/>
      <c r="V1" s="2"/>
      <c r="W1" s="2"/>
      <c r="X1" s="2"/>
      <c r="Y1" s="2"/>
      <c r="Z1" s="2"/>
      <c r="AA1" s="2"/>
      <c r="AB1" s="2"/>
      <c r="AC1" s="2"/>
      <c r="AD1" s="2"/>
      <c r="AE1" s="2"/>
      <c r="AF1" s="2"/>
    </row>
    <row r="2" spans="1:32" s="145" customFormat="1" ht="12" x14ac:dyDescent="0.25">
      <c r="A2" s="2"/>
      <c r="B2" s="2"/>
      <c r="C2" s="2"/>
      <c r="D2" s="3"/>
      <c r="E2" s="2"/>
      <c r="F2" s="2"/>
      <c r="G2" s="2"/>
      <c r="H2" s="2"/>
      <c r="I2" s="2"/>
      <c r="J2" s="2"/>
      <c r="K2" s="2"/>
      <c r="L2" s="2"/>
      <c r="M2" s="2"/>
      <c r="N2" s="2"/>
      <c r="O2" s="2"/>
      <c r="P2" s="2"/>
      <c r="Q2" s="2"/>
      <c r="R2" s="2"/>
      <c r="S2" s="2"/>
      <c r="T2" s="2"/>
      <c r="U2" s="2"/>
      <c r="V2" s="2"/>
      <c r="W2" s="2"/>
      <c r="X2" s="2"/>
      <c r="Y2" s="2"/>
      <c r="Z2" s="2"/>
      <c r="AA2" s="2"/>
      <c r="AB2" s="2"/>
      <c r="AC2" s="2"/>
      <c r="AD2" s="2"/>
      <c r="AE2" s="2"/>
      <c r="AF2" s="2"/>
    </row>
    <row r="3" spans="1:32" s="145" customFormat="1" ht="12" x14ac:dyDescent="0.25">
      <c r="A3" s="2"/>
      <c r="B3" s="2"/>
      <c r="C3" s="2"/>
      <c r="D3" s="3"/>
      <c r="E3" s="2"/>
      <c r="F3" s="2"/>
      <c r="G3" s="2"/>
      <c r="H3" s="2"/>
      <c r="I3" s="2"/>
      <c r="J3" s="2"/>
      <c r="K3" s="2"/>
      <c r="L3" s="2"/>
      <c r="M3" s="2"/>
      <c r="N3" s="2"/>
      <c r="O3" s="2"/>
      <c r="P3" s="2"/>
      <c r="Q3" s="2"/>
      <c r="R3" s="2"/>
      <c r="S3" s="2"/>
      <c r="T3" s="2"/>
      <c r="U3" s="2"/>
      <c r="V3" s="2"/>
      <c r="W3" s="2"/>
      <c r="X3" s="2"/>
      <c r="Y3" s="2"/>
      <c r="Z3" s="2"/>
      <c r="AA3" s="2"/>
      <c r="AB3" s="2"/>
      <c r="AC3" s="2"/>
      <c r="AD3" s="2"/>
      <c r="AE3" s="2"/>
      <c r="AF3" s="2"/>
    </row>
    <row r="4" spans="1:32" s="145" customFormat="1" ht="12" x14ac:dyDescent="0.25">
      <c r="A4" s="2"/>
      <c r="B4" s="2"/>
      <c r="C4" s="2"/>
      <c r="D4" s="3"/>
      <c r="E4" s="2"/>
      <c r="F4" s="2"/>
      <c r="G4" s="2"/>
      <c r="H4" s="2"/>
      <c r="I4" s="2"/>
      <c r="J4" s="2"/>
      <c r="K4" s="2"/>
      <c r="L4" s="2"/>
      <c r="M4" s="2"/>
      <c r="N4" s="2"/>
      <c r="O4" s="2"/>
      <c r="P4" s="2"/>
      <c r="Q4" s="2"/>
      <c r="R4" s="2"/>
      <c r="S4" s="2"/>
      <c r="T4" s="2"/>
      <c r="U4" s="2"/>
      <c r="V4" s="2"/>
      <c r="W4" s="2"/>
      <c r="X4" s="2"/>
      <c r="Y4" s="2"/>
      <c r="Z4" s="2"/>
      <c r="AA4" s="2"/>
      <c r="AB4" s="2"/>
      <c r="AC4" s="2"/>
      <c r="AD4" s="2"/>
      <c r="AE4" s="2"/>
      <c r="AF4" s="2"/>
    </row>
    <row r="5" spans="1:32" s="145" customFormat="1" ht="12.6" thickBot="1" x14ac:dyDescent="0.3">
      <c r="A5" s="2"/>
      <c r="B5" s="2"/>
      <c r="C5" s="2"/>
      <c r="D5" s="3"/>
      <c r="E5" s="2"/>
      <c r="F5" s="2"/>
      <c r="G5" s="2"/>
      <c r="H5" s="2"/>
      <c r="I5" s="2"/>
      <c r="J5" s="2"/>
      <c r="K5" s="2"/>
      <c r="L5" s="2"/>
      <c r="M5" s="2"/>
      <c r="N5" s="2"/>
      <c r="O5" s="2"/>
      <c r="P5" s="2"/>
      <c r="Q5" s="2"/>
      <c r="R5" s="2"/>
      <c r="S5" s="2"/>
      <c r="T5" s="2"/>
      <c r="U5" s="2"/>
      <c r="V5" s="2"/>
      <c r="W5" s="2"/>
      <c r="X5" s="2"/>
      <c r="Y5" s="2"/>
      <c r="Z5" s="2"/>
      <c r="AA5" s="2"/>
      <c r="AB5" s="2"/>
      <c r="AC5" s="2"/>
      <c r="AD5" s="2"/>
      <c r="AE5" s="2"/>
      <c r="AF5" s="2"/>
    </row>
    <row r="6" spans="1:32" s="145" customFormat="1" ht="4.2" customHeight="1" x14ac:dyDescent="0.25">
      <c r="A6" s="2"/>
      <c r="B6" s="15"/>
      <c r="C6" s="16"/>
      <c r="D6" s="17"/>
      <c r="E6" s="24"/>
      <c r="F6" s="24"/>
      <c r="G6" s="24"/>
      <c r="H6" s="24"/>
      <c r="I6" s="24"/>
      <c r="J6" s="24"/>
      <c r="K6" s="24"/>
      <c r="L6" s="24"/>
      <c r="M6" s="24"/>
      <c r="N6" s="24"/>
      <c r="O6" s="24"/>
      <c r="P6" s="25"/>
      <c r="Q6" s="2"/>
      <c r="R6" s="2"/>
      <c r="S6" s="2"/>
      <c r="T6" s="2"/>
      <c r="U6" s="2"/>
      <c r="V6" s="2"/>
      <c r="W6" s="2"/>
      <c r="X6" s="2"/>
      <c r="Y6" s="2"/>
      <c r="Z6" s="2"/>
      <c r="AA6" s="2"/>
      <c r="AB6" s="2"/>
      <c r="AC6" s="2"/>
      <c r="AD6" s="2"/>
      <c r="AE6" s="2"/>
      <c r="AF6" s="2"/>
    </row>
    <row r="7" spans="1:32" s="145" customFormat="1" ht="16.8" x14ac:dyDescent="0.4">
      <c r="A7" s="2"/>
      <c r="B7" s="18"/>
      <c r="C7" s="29" t="s">
        <v>1115</v>
      </c>
      <c r="D7" s="19"/>
      <c r="E7" s="19"/>
      <c r="F7" s="19"/>
      <c r="G7" s="19"/>
      <c r="H7" s="19"/>
      <c r="I7" s="19"/>
      <c r="J7" s="20"/>
      <c r="K7" s="20"/>
      <c r="L7" s="20"/>
      <c r="M7" s="20"/>
      <c r="N7" s="20"/>
      <c r="O7" s="20"/>
      <c r="P7" s="26"/>
      <c r="Q7" s="2"/>
      <c r="R7" s="2"/>
      <c r="S7" s="2"/>
      <c r="T7" s="2"/>
      <c r="U7" s="2"/>
      <c r="V7" s="2"/>
      <c r="W7" s="2"/>
      <c r="X7" s="2"/>
      <c r="Y7" s="2"/>
      <c r="Z7" s="2"/>
      <c r="AA7" s="2"/>
      <c r="AB7" s="2"/>
      <c r="AC7" s="2"/>
      <c r="AD7" s="2"/>
      <c r="AE7" s="2"/>
      <c r="AF7" s="2"/>
    </row>
    <row r="8" spans="1:32" s="145" customFormat="1" ht="12" x14ac:dyDescent="0.25">
      <c r="A8" s="2"/>
      <c r="B8" s="18"/>
      <c r="C8" s="20" t="s">
        <v>1</v>
      </c>
      <c r="D8" s="19"/>
      <c r="E8" s="12"/>
      <c r="F8" s="12"/>
      <c r="G8" s="12"/>
      <c r="H8" s="12"/>
      <c r="I8" s="12"/>
      <c r="J8" s="20"/>
      <c r="K8" s="20"/>
      <c r="L8" s="20"/>
      <c r="M8" s="20"/>
      <c r="N8" s="20"/>
      <c r="O8" s="20"/>
      <c r="P8" s="26"/>
      <c r="Q8" s="2"/>
      <c r="R8" s="2"/>
      <c r="S8" s="2"/>
      <c r="T8" s="2"/>
      <c r="U8" s="2"/>
      <c r="V8" s="2"/>
      <c r="W8" s="2"/>
      <c r="X8" s="2"/>
      <c r="Y8" s="2"/>
      <c r="Z8" s="2"/>
      <c r="AA8" s="2"/>
      <c r="AB8" s="2"/>
      <c r="AC8" s="2"/>
      <c r="AD8" s="2"/>
      <c r="AE8" s="2"/>
      <c r="AF8" s="2"/>
    </row>
    <row r="9" spans="1:32" s="145" customFormat="1" ht="12" x14ac:dyDescent="0.25">
      <c r="A9" s="2"/>
      <c r="B9" s="18"/>
      <c r="C9" s="20" t="s">
        <v>2</v>
      </c>
      <c r="D9" s="19"/>
      <c r="E9" s="11"/>
      <c r="F9" s="11"/>
      <c r="G9" s="11"/>
      <c r="H9" s="11"/>
      <c r="I9" s="11"/>
      <c r="J9" s="20"/>
      <c r="K9" s="20"/>
      <c r="L9" s="20"/>
      <c r="M9" s="20"/>
      <c r="N9" s="20"/>
      <c r="O9" s="20"/>
      <c r="P9" s="26"/>
      <c r="Q9" s="2"/>
      <c r="R9" s="2"/>
      <c r="S9" s="2"/>
      <c r="T9" s="2"/>
      <c r="U9" s="2"/>
      <c r="V9" s="2"/>
      <c r="W9" s="2"/>
      <c r="X9" s="2"/>
      <c r="Y9" s="2"/>
      <c r="Z9" s="2"/>
      <c r="AA9" s="2"/>
      <c r="AB9" s="2"/>
      <c r="AC9" s="2"/>
      <c r="AD9" s="2"/>
      <c r="AE9" s="2"/>
      <c r="AF9" s="2"/>
    </row>
    <row r="10" spans="1:32" s="145" customFormat="1" ht="12" x14ac:dyDescent="0.25">
      <c r="A10" s="2"/>
      <c r="B10" s="18"/>
      <c r="C10" s="20" t="s">
        <v>3</v>
      </c>
      <c r="D10" s="19"/>
      <c r="E10" s="28"/>
      <c r="F10" s="28"/>
      <c r="G10" s="28"/>
      <c r="H10" s="28"/>
      <c r="I10" s="28"/>
      <c r="J10" s="20"/>
      <c r="K10" s="20"/>
      <c r="L10" s="20"/>
      <c r="M10" s="20"/>
      <c r="N10" s="20"/>
      <c r="O10" s="20"/>
      <c r="P10" s="26"/>
      <c r="Q10" s="2"/>
      <c r="R10" s="2"/>
      <c r="S10" s="2"/>
      <c r="T10" s="2"/>
      <c r="U10" s="2"/>
      <c r="V10" s="2"/>
      <c r="W10" s="2"/>
      <c r="X10" s="2"/>
      <c r="Y10" s="2"/>
      <c r="Z10" s="2"/>
      <c r="AA10" s="2"/>
      <c r="AB10" s="2"/>
      <c r="AC10" s="2"/>
      <c r="AD10" s="2"/>
      <c r="AE10" s="2"/>
      <c r="AF10" s="2"/>
    </row>
    <row r="11" spans="1:32" s="145" customFormat="1" ht="4.95" customHeight="1" thickBot="1" x14ac:dyDescent="0.3">
      <c r="A11" s="2"/>
      <c r="B11" s="21"/>
      <c r="C11" s="22"/>
      <c r="D11" s="23"/>
      <c r="E11" s="22"/>
      <c r="F11" s="22"/>
      <c r="G11" s="22"/>
      <c r="H11" s="22"/>
      <c r="I11" s="22"/>
      <c r="J11" s="22"/>
      <c r="K11" s="22"/>
      <c r="L11" s="22"/>
      <c r="M11" s="22"/>
      <c r="N11" s="22"/>
      <c r="O11" s="22"/>
      <c r="P11" s="27"/>
      <c r="Q11" s="2"/>
      <c r="R11" s="2"/>
      <c r="S11" s="2"/>
      <c r="T11" s="2"/>
      <c r="U11" s="2"/>
      <c r="V11" s="2"/>
      <c r="W11" s="2"/>
      <c r="X11" s="2"/>
      <c r="Y11" s="2"/>
      <c r="Z11" s="2"/>
      <c r="AA11" s="2"/>
      <c r="AB11" s="2"/>
      <c r="AC11" s="2"/>
      <c r="AD11" s="2"/>
      <c r="AE11" s="2"/>
      <c r="AF11" s="2"/>
    </row>
    <row r="12" spans="1:32" s="145" customFormat="1" ht="4.95" customHeight="1" thickBot="1" x14ac:dyDescent="0.3">
      <c r="A12" s="2"/>
      <c r="B12" s="13"/>
      <c r="C12" s="13"/>
      <c r="D12" s="14"/>
      <c r="E12" s="13"/>
      <c r="F12" s="13"/>
      <c r="G12" s="13"/>
      <c r="H12" s="13"/>
      <c r="I12" s="13"/>
      <c r="J12" s="13"/>
      <c r="K12" s="13"/>
      <c r="L12" s="13"/>
      <c r="M12" s="13"/>
      <c r="N12" s="13"/>
      <c r="O12" s="13"/>
      <c r="P12" s="13"/>
      <c r="Q12" s="2"/>
      <c r="R12" s="2"/>
      <c r="S12" s="2"/>
      <c r="T12" s="2"/>
      <c r="U12" s="2"/>
      <c r="V12" s="2"/>
      <c r="W12" s="2"/>
      <c r="X12" s="2"/>
      <c r="Y12" s="2"/>
      <c r="Z12" s="2"/>
      <c r="AA12" s="2"/>
      <c r="AB12" s="2"/>
      <c r="AC12" s="2"/>
      <c r="AD12" s="2"/>
      <c r="AE12" s="2"/>
      <c r="AF12" s="2"/>
    </row>
    <row r="13" spans="1:32" s="145" customFormat="1" ht="8.4" customHeight="1" x14ac:dyDescent="0.25">
      <c r="A13" s="2"/>
      <c r="B13" s="15"/>
      <c r="C13" s="16"/>
      <c r="D13" s="17"/>
      <c r="E13" s="24"/>
      <c r="F13" s="24"/>
      <c r="G13" s="24"/>
      <c r="H13" s="24"/>
      <c r="I13" s="24"/>
      <c r="J13" s="24"/>
      <c r="K13" s="24"/>
      <c r="L13" s="24"/>
      <c r="M13" s="24"/>
      <c r="N13" s="24"/>
      <c r="O13" s="24"/>
      <c r="P13" s="25"/>
      <c r="Q13" s="2"/>
      <c r="R13" s="2"/>
      <c r="S13" s="2"/>
      <c r="T13" s="2"/>
      <c r="U13" s="2"/>
      <c r="V13" s="2"/>
      <c r="W13" s="2"/>
      <c r="X13" s="2"/>
      <c r="Y13" s="2"/>
      <c r="Z13" s="2"/>
      <c r="AA13" s="2"/>
      <c r="AB13" s="2"/>
      <c r="AC13" s="2"/>
      <c r="AD13" s="2"/>
      <c r="AE13" s="2"/>
      <c r="AF13" s="2"/>
    </row>
    <row r="14" spans="1:32" s="145" customFormat="1" ht="13.95" customHeight="1" x14ac:dyDescent="0.4">
      <c r="A14" s="2"/>
      <c r="B14" s="18"/>
      <c r="C14" s="29" t="s">
        <v>4</v>
      </c>
      <c r="D14" s="19"/>
      <c r="E14" s="19"/>
      <c r="F14" s="19"/>
      <c r="G14" s="19"/>
      <c r="H14" s="19"/>
      <c r="I14" s="19"/>
      <c r="J14" s="20"/>
      <c r="K14" s="20"/>
      <c r="L14" s="20"/>
      <c r="M14" s="20"/>
      <c r="N14" s="20"/>
      <c r="O14" s="20"/>
      <c r="P14" s="26"/>
      <c r="Q14" s="2"/>
      <c r="R14" s="2"/>
      <c r="S14" s="2"/>
      <c r="T14" s="2"/>
      <c r="U14" s="2"/>
      <c r="V14" s="2"/>
      <c r="W14" s="2"/>
      <c r="X14" s="2"/>
      <c r="Y14" s="2"/>
      <c r="Z14" s="2"/>
      <c r="AA14" s="2"/>
      <c r="AB14" s="2"/>
      <c r="AC14" s="2"/>
      <c r="AD14" s="2"/>
      <c r="AE14" s="2"/>
      <c r="AF14" s="2"/>
    </row>
    <row r="15" spans="1:32" s="145" customFormat="1" ht="13.95" customHeight="1" x14ac:dyDescent="0.25">
      <c r="A15" s="2"/>
      <c r="B15" s="18"/>
      <c r="C15" s="20" t="s">
        <v>1559</v>
      </c>
      <c r="D15" s="20"/>
      <c r="E15" s="19"/>
      <c r="F15" s="19"/>
      <c r="G15" s="19"/>
      <c r="H15" s="19"/>
      <c r="I15" s="19"/>
      <c r="J15" s="20"/>
      <c r="K15" s="20"/>
      <c r="L15" s="20"/>
      <c r="M15" s="20"/>
      <c r="N15" s="20"/>
      <c r="O15" s="20"/>
      <c r="P15" s="26"/>
      <c r="Q15" s="2"/>
      <c r="R15" s="2"/>
      <c r="S15" s="2"/>
      <c r="T15" s="2"/>
      <c r="U15" s="2"/>
      <c r="V15" s="2"/>
      <c r="W15" s="2"/>
      <c r="X15" s="2"/>
      <c r="Y15" s="2"/>
      <c r="Z15" s="2"/>
      <c r="AA15" s="2"/>
      <c r="AB15" s="2"/>
      <c r="AC15" s="2"/>
      <c r="AD15" s="2"/>
      <c r="AE15" s="2"/>
      <c r="AF15" s="2"/>
    </row>
    <row r="16" spans="1:32" s="145" customFormat="1" ht="13.95" customHeight="1" x14ac:dyDescent="0.25">
      <c r="A16" s="2"/>
      <c r="B16" s="18"/>
      <c r="C16" s="20" t="s">
        <v>1560</v>
      </c>
      <c r="D16" s="20"/>
      <c r="E16" s="19"/>
      <c r="F16" s="19"/>
      <c r="G16" s="19"/>
      <c r="H16" s="19"/>
      <c r="I16" s="19"/>
      <c r="J16" s="20"/>
      <c r="K16" s="20"/>
      <c r="L16" s="20"/>
      <c r="M16" s="20"/>
      <c r="N16" s="20"/>
      <c r="O16" s="20"/>
      <c r="P16" s="26"/>
      <c r="Q16" s="2"/>
      <c r="R16" s="2"/>
      <c r="S16" s="2"/>
      <c r="T16" s="2"/>
      <c r="U16" s="2"/>
      <c r="V16" s="2"/>
      <c r="W16" s="2"/>
      <c r="X16" s="2"/>
      <c r="Y16" s="2"/>
      <c r="Z16" s="2"/>
      <c r="AA16" s="2"/>
      <c r="AB16" s="2"/>
      <c r="AC16" s="2"/>
      <c r="AD16" s="2"/>
      <c r="AE16" s="2"/>
      <c r="AF16" s="2"/>
    </row>
    <row r="17" spans="1:32" s="145" customFormat="1" ht="13.95" customHeight="1" thickBot="1" x14ac:dyDescent="0.3">
      <c r="A17" s="2"/>
      <c r="B17" s="21"/>
      <c r="C17" s="22"/>
      <c r="D17" s="23"/>
      <c r="E17" s="23"/>
      <c r="F17" s="23"/>
      <c r="G17" s="23"/>
      <c r="H17" s="23"/>
      <c r="I17" s="23"/>
      <c r="J17" s="22"/>
      <c r="K17" s="22"/>
      <c r="L17" s="22"/>
      <c r="M17" s="22"/>
      <c r="N17" s="22"/>
      <c r="O17" s="22"/>
      <c r="P17" s="27"/>
      <c r="Q17" s="2"/>
      <c r="R17" s="2"/>
      <c r="S17" s="2"/>
      <c r="T17" s="2"/>
      <c r="U17" s="2"/>
      <c r="V17" s="2"/>
      <c r="W17" s="2"/>
      <c r="X17" s="2"/>
      <c r="Y17" s="2"/>
      <c r="Z17" s="2"/>
      <c r="AA17" s="2"/>
      <c r="AB17" s="2"/>
      <c r="AC17" s="2"/>
      <c r="AD17" s="2"/>
      <c r="AE17" s="2"/>
      <c r="AF17" s="2"/>
    </row>
    <row r="18" spans="1:32" s="145" customFormat="1" ht="4.95" customHeight="1" thickBot="1" x14ac:dyDescent="0.3">
      <c r="A18" s="2"/>
      <c r="B18" s="13"/>
      <c r="C18" s="13"/>
      <c r="D18" s="14"/>
      <c r="E18" s="13"/>
      <c r="F18" s="13"/>
      <c r="G18" s="13"/>
      <c r="H18" s="13"/>
      <c r="I18" s="13"/>
      <c r="J18" s="13"/>
      <c r="K18" s="13"/>
      <c r="L18" s="13"/>
      <c r="M18" s="13"/>
      <c r="N18" s="13"/>
      <c r="O18" s="13"/>
      <c r="P18" s="13"/>
      <c r="Q18" s="2"/>
      <c r="R18" s="13"/>
      <c r="S18" s="2"/>
      <c r="T18" s="2"/>
      <c r="U18" s="2"/>
      <c r="V18" s="2"/>
      <c r="W18" s="2"/>
      <c r="X18" s="2"/>
      <c r="Y18" s="2"/>
      <c r="Z18" s="2"/>
      <c r="AA18" s="2"/>
      <c r="AB18" s="2"/>
      <c r="AC18" s="2"/>
      <c r="AD18" s="2"/>
      <c r="AE18" s="2"/>
      <c r="AF18" s="2"/>
    </row>
    <row r="19" spans="1:32" s="145" customFormat="1" ht="8.4" customHeight="1" x14ac:dyDescent="0.25">
      <c r="A19" s="2"/>
      <c r="B19" s="15"/>
      <c r="C19" s="16"/>
      <c r="D19" s="17"/>
      <c r="E19" s="24"/>
      <c r="F19" s="24"/>
      <c r="G19" s="24"/>
      <c r="H19" s="24"/>
      <c r="I19" s="24"/>
      <c r="J19" s="24"/>
      <c r="K19" s="24"/>
      <c r="L19" s="24"/>
      <c r="M19" s="24"/>
      <c r="N19" s="24"/>
      <c r="O19" s="24"/>
      <c r="P19" s="25"/>
      <c r="Q19" s="2"/>
      <c r="R19" s="2"/>
      <c r="S19" s="2"/>
      <c r="T19" s="2"/>
      <c r="U19" s="2"/>
      <c r="V19" s="2"/>
      <c r="W19" s="2"/>
      <c r="X19" s="2"/>
      <c r="Y19" s="2"/>
      <c r="Z19" s="2"/>
      <c r="AA19" s="2"/>
      <c r="AB19" s="2"/>
      <c r="AC19" s="2"/>
      <c r="AD19" s="2"/>
      <c r="AE19" s="2"/>
      <c r="AF19" s="2"/>
    </row>
    <row r="20" spans="1:32" s="145" customFormat="1" ht="13.95" customHeight="1" x14ac:dyDescent="0.4">
      <c r="A20" s="2"/>
      <c r="B20" s="18"/>
      <c r="C20" s="29" t="s">
        <v>1116</v>
      </c>
      <c r="D20" s="19"/>
      <c r="E20" s="19"/>
      <c r="F20" s="19"/>
      <c r="G20" s="19"/>
      <c r="H20" s="19"/>
      <c r="I20" s="19"/>
      <c r="J20" s="20"/>
      <c r="K20" s="20"/>
      <c r="L20" s="20"/>
      <c r="M20" s="20"/>
      <c r="N20" s="20"/>
      <c r="O20" s="20"/>
      <c r="P20" s="26"/>
      <c r="Q20" s="2"/>
      <c r="R20" s="2"/>
      <c r="S20" s="2"/>
      <c r="T20" s="2"/>
      <c r="U20" s="2"/>
      <c r="V20" s="2"/>
      <c r="W20" s="2"/>
      <c r="X20" s="2"/>
      <c r="Y20" s="2"/>
      <c r="Z20" s="2"/>
      <c r="AA20" s="2"/>
      <c r="AB20" s="2"/>
      <c r="AC20" s="2"/>
      <c r="AD20" s="2"/>
      <c r="AE20" s="2"/>
      <c r="AF20" s="2"/>
    </row>
    <row r="21" spans="1:32" s="145" customFormat="1" ht="13.95" customHeight="1" x14ac:dyDescent="0.25">
      <c r="A21" s="2"/>
      <c r="B21" s="18"/>
      <c r="C21" s="20" t="s">
        <v>1626</v>
      </c>
      <c r="D21" s="19"/>
      <c r="E21" s="19"/>
      <c r="F21" s="19"/>
      <c r="G21" s="19"/>
      <c r="H21" s="19"/>
      <c r="I21" s="19"/>
      <c r="J21" s="20"/>
      <c r="K21" s="20"/>
      <c r="L21" s="20"/>
      <c r="M21" s="20"/>
      <c r="N21" s="20"/>
      <c r="O21" s="20"/>
      <c r="P21" s="26"/>
      <c r="Q21" s="2"/>
      <c r="R21" s="2"/>
      <c r="S21" s="2"/>
      <c r="T21" s="2"/>
      <c r="U21" s="2"/>
      <c r="V21" s="2"/>
      <c r="W21" s="2"/>
      <c r="X21" s="2"/>
      <c r="Y21" s="2"/>
      <c r="Z21" s="2"/>
      <c r="AA21" s="2"/>
      <c r="AB21" s="2"/>
      <c r="AC21" s="2"/>
      <c r="AD21" s="2"/>
      <c r="AE21" s="2"/>
      <c r="AF21" s="2"/>
    </row>
    <row r="22" spans="1:32" s="145" customFormat="1" ht="13.95" customHeight="1" x14ac:dyDescent="0.25">
      <c r="A22" s="2"/>
      <c r="B22" s="18"/>
      <c r="C22" s="20" t="s">
        <v>1627</v>
      </c>
      <c r="D22" s="19"/>
      <c r="E22" s="19"/>
      <c r="F22" s="19"/>
      <c r="G22" s="19"/>
      <c r="H22" s="19"/>
      <c r="I22" s="19"/>
      <c r="J22" s="20"/>
      <c r="K22" s="20"/>
      <c r="L22" s="20"/>
      <c r="M22" s="20"/>
      <c r="N22" s="20"/>
      <c r="O22" s="20"/>
      <c r="P22" s="26"/>
      <c r="Q22" s="2"/>
      <c r="R22" s="2"/>
      <c r="S22" s="2"/>
      <c r="T22" s="2"/>
      <c r="U22" s="2"/>
      <c r="V22" s="2"/>
      <c r="W22" s="2"/>
      <c r="X22" s="2"/>
      <c r="Y22" s="2"/>
      <c r="Z22" s="2"/>
      <c r="AA22" s="2"/>
      <c r="AB22" s="2"/>
      <c r="AC22" s="2"/>
      <c r="AD22" s="2"/>
      <c r="AE22" s="2"/>
      <c r="AF22" s="2"/>
    </row>
    <row r="23" spans="1:32" s="145" customFormat="1" ht="13.95" customHeight="1" x14ac:dyDescent="0.25">
      <c r="A23" s="2"/>
      <c r="B23" s="18"/>
      <c r="C23" s="20" t="s">
        <v>1547</v>
      </c>
      <c r="D23" s="19"/>
      <c r="E23" s="19"/>
      <c r="F23" s="19"/>
      <c r="G23" s="19"/>
      <c r="H23" s="19"/>
      <c r="I23" s="19"/>
      <c r="J23" s="20"/>
      <c r="K23" s="20"/>
      <c r="L23" s="20"/>
      <c r="M23" s="20"/>
      <c r="N23" s="20"/>
      <c r="O23" s="20"/>
      <c r="P23" s="26"/>
      <c r="Q23" s="2"/>
      <c r="R23" s="2"/>
      <c r="S23" s="2"/>
      <c r="T23" s="2"/>
      <c r="U23" s="2"/>
      <c r="V23" s="2"/>
      <c r="W23" s="2"/>
      <c r="X23" s="2"/>
      <c r="Y23" s="2"/>
      <c r="Z23" s="2"/>
      <c r="AA23" s="2"/>
      <c r="AB23" s="2"/>
      <c r="AC23" s="2"/>
      <c r="AD23" s="2"/>
      <c r="AE23" s="2"/>
      <c r="AF23" s="2"/>
    </row>
    <row r="24" spans="1:32" s="145" customFormat="1" ht="13.95" customHeight="1" x14ac:dyDescent="0.25">
      <c r="A24" s="2"/>
      <c r="B24" s="18"/>
      <c r="C24" s="20" t="s">
        <v>1546</v>
      </c>
      <c r="D24" s="19"/>
      <c r="E24" s="19"/>
      <c r="F24" s="19"/>
      <c r="G24" s="19"/>
      <c r="H24" s="19"/>
      <c r="I24" s="19"/>
      <c r="J24" s="20"/>
      <c r="K24" s="20"/>
      <c r="L24" s="20"/>
      <c r="M24" s="20"/>
      <c r="N24" s="20"/>
      <c r="O24" s="20"/>
      <c r="P24" s="26"/>
      <c r="Q24" s="2"/>
      <c r="R24" s="2"/>
      <c r="S24" s="2"/>
      <c r="T24" s="2"/>
      <c r="U24" s="2"/>
      <c r="V24" s="2"/>
      <c r="W24" s="2"/>
      <c r="X24" s="2"/>
      <c r="Y24" s="2"/>
      <c r="Z24" s="2"/>
      <c r="AA24" s="2"/>
      <c r="AB24" s="2"/>
      <c r="AC24" s="2"/>
      <c r="AD24" s="2"/>
      <c r="AE24" s="2"/>
      <c r="AF24" s="2"/>
    </row>
    <row r="25" spans="1:32" s="145" customFormat="1" ht="13.95" customHeight="1" x14ac:dyDescent="0.25">
      <c r="A25" s="2"/>
      <c r="B25" s="18"/>
      <c r="C25" s="20"/>
      <c r="D25" s="20" t="s">
        <v>1120</v>
      </c>
      <c r="E25" s="19"/>
      <c r="F25" s="19"/>
      <c r="G25" s="19"/>
      <c r="H25" s="19"/>
      <c r="I25" s="19"/>
      <c r="J25" s="20"/>
      <c r="K25" s="20"/>
      <c r="L25" s="20"/>
      <c r="M25" s="20"/>
      <c r="N25" s="20"/>
      <c r="O25" s="20"/>
      <c r="P25" s="26"/>
      <c r="Q25" s="2"/>
      <c r="R25" s="2"/>
      <c r="S25" s="2"/>
      <c r="T25" s="2"/>
      <c r="U25" s="2"/>
      <c r="V25" s="2"/>
      <c r="W25" s="2"/>
      <c r="X25" s="2"/>
      <c r="Y25" s="2"/>
      <c r="Z25" s="2"/>
      <c r="AA25" s="2"/>
      <c r="AB25" s="2"/>
      <c r="AC25" s="2"/>
      <c r="AD25" s="2"/>
      <c r="AE25" s="2"/>
      <c r="AF25" s="2"/>
    </row>
    <row r="26" spans="1:32" s="145" customFormat="1" ht="13.95" customHeight="1" x14ac:dyDescent="0.25">
      <c r="A26" s="2"/>
      <c r="B26" s="18"/>
      <c r="C26" s="20" t="s">
        <v>1548</v>
      </c>
      <c r="D26" s="20"/>
      <c r="E26" s="19"/>
      <c r="F26" s="19"/>
      <c r="G26" s="19"/>
      <c r="H26" s="19"/>
      <c r="I26" s="19"/>
      <c r="J26" s="20"/>
      <c r="K26" s="20"/>
      <c r="L26" s="20"/>
      <c r="M26" s="20"/>
      <c r="N26" s="20"/>
      <c r="O26" s="20"/>
      <c r="P26" s="26"/>
      <c r="Q26" s="2"/>
      <c r="R26" s="2"/>
      <c r="S26" s="2"/>
      <c r="T26" s="2"/>
      <c r="U26" s="2"/>
      <c r="V26" s="2"/>
      <c r="W26" s="2"/>
      <c r="X26" s="2"/>
      <c r="Y26" s="2"/>
      <c r="Z26" s="2"/>
      <c r="AA26" s="2"/>
      <c r="AB26" s="2"/>
      <c r="AC26" s="2"/>
      <c r="AD26" s="2"/>
      <c r="AE26" s="2"/>
      <c r="AF26" s="2"/>
    </row>
    <row r="27" spans="1:32" s="145" customFormat="1" ht="13.95" customHeight="1" thickBot="1" x14ac:dyDescent="0.3">
      <c r="A27" s="2"/>
      <c r="B27" s="21"/>
      <c r="C27" s="22"/>
      <c r="D27" s="22"/>
      <c r="E27" s="23"/>
      <c r="F27" s="23"/>
      <c r="G27" s="23"/>
      <c r="H27" s="23"/>
      <c r="I27" s="23"/>
      <c r="J27" s="22"/>
      <c r="K27" s="22"/>
      <c r="L27" s="22"/>
      <c r="M27" s="22"/>
      <c r="N27" s="22"/>
      <c r="O27" s="22"/>
      <c r="P27" s="27"/>
      <c r="Q27" s="2"/>
      <c r="R27" s="2"/>
      <c r="S27" s="2"/>
      <c r="T27" s="2"/>
      <c r="U27" s="2"/>
      <c r="V27" s="2"/>
      <c r="W27" s="2"/>
      <c r="X27" s="2"/>
      <c r="Y27" s="2"/>
      <c r="Z27" s="2"/>
      <c r="AA27" s="2"/>
      <c r="AB27" s="2"/>
      <c r="AC27" s="2"/>
      <c r="AD27" s="2"/>
      <c r="AE27" s="2"/>
      <c r="AF27" s="2"/>
    </row>
    <row r="28" spans="1:32" ht="4.95" customHeight="1" thickBot="1" x14ac:dyDescent="0.3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spans="1:32" ht="8.4" customHeight="1" x14ac:dyDescent="0.3">
      <c r="A29" s="2"/>
      <c r="B29" s="15"/>
      <c r="C29" s="16"/>
      <c r="D29" s="17"/>
      <c r="E29" s="24"/>
      <c r="F29" s="24"/>
      <c r="G29" s="24"/>
      <c r="H29" s="24"/>
      <c r="I29" s="24"/>
      <c r="J29" s="24"/>
      <c r="K29" s="24"/>
      <c r="L29" s="24"/>
      <c r="M29" s="24"/>
      <c r="N29" s="24"/>
      <c r="O29" s="24"/>
      <c r="P29" s="25"/>
      <c r="Q29" s="2"/>
      <c r="R29" s="2"/>
      <c r="S29" s="2"/>
      <c r="T29" s="2"/>
      <c r="U29" s="2"/>
      <c r="V29" s="2"/>
      <c r="W29" s="2"/>
      <c r="X29" s="2"/>
      <c r="Y29" s="2"/>
      <c r="Z29" s="2"/>
      <c r="AA29" s="2"/>
      <c r="AB29" s="2"/>
      <c r="AC29" s="2"/>
      <c r="AD29" s="2"/>
      <c r="AE29" s="2"/>
      <c r="AF29" s="2"/>
    </row>
    <row r="30" spans="1:32" ht="16.8" x14ac:dyDescent="0.4">
      <c r="A30" s="2"/>
      <c r="B30" s="18"/>
      <c r="C30" s="29" t="s">
        <v>20</v>
      </c>
      <c r="D30" s="19"/>
      <c r="E30" s="19"/>
      <c r="F30" s="19"/>
      <c r="G30" s="19"/>
      <c r="H30" s="19"/>
      <c r="I30" s="19"/>
      <c r="J30" s="20"/>
      <c r="K30" s="20"/>
      <c r="L30" s="20"/>
      <c r="M30" s="20"/>
      <c r="N30" s="20"/>
      <c r="O30" s="20"/>
      <c r="P30" s="26"/>
      <c r="Q30" s="2"/>
      <c r="R30" s="2"/>
      <c r="S30" s="2"/>
      <c r="T30" s="2"/>
      <c r="U30" s="2"/>
      <c r="V30" s="2"/>
      <c r="W30" s="2"/>
      <c r="X30" s="2"/>
      <c r="Y30" s="2"/>
      <c r="Z30" s="2"/>
      <c r="AA30" s="2"/>
      <c r="AB30" s="2"/>
      <c r="AC30" s="2"/>
      <c r="AD30" s="2"/>
      <c r="AE30" s="2"/>
      <c r="AF30" s="2"/>
    </row>
    <row r="31" spans="1:32" x14ac:dyDescent="0.3">
      <c r="A31" s="2"/>
      <c r="B31" s="18"/>
      <c r="C31" s="20" t="s">
        <v>1117</v>
      </c>
      <c r="D31" s="19"/>
      <c r="E31" s="19"/>
      <c r="F31" s="19"/>
      <c r="G31" s="19"/>
      <c r="H31" s="19"/>
      <c r="I31" s="19"/>
      <c r="J31" s="20"/>
      <c r="K31" s="20"/>
      <c r="L31" s="20"/>
      <c r="M31" s="20"/>
      <c r="N31" s="20"/>
      <c r="O31" s="20"/>
      <c r="P31" s="26"/>
      <c r="Q31" s="2"/>
      <c r="R31" s="2"/>
      <c r="S31" s="2"/>
      <c r="T31" s="2"/>
      <c r="U31" s="2"/>
      <c r="V31" s="2"/>
      <c r="W31" s="2"/>
      <c r="X31" s="2"/>
      <c r="Y31" s="2"/>
      <c r="Z31" s="2"/>
      <c r="AA31" s="2"/>
      <c r="AB31" s="2"/>
      <c r="AC31" s="2"/>
      <c r="AD31" s="2"/>
      <c r="AE31" s="2"/>
      <c r="AF31" s="2"/>
    </row>
    <row r="32" spans="1:32" x14ac:dyDescent="0.3">
      <c r="A32" s="2"/>
      <c r="B32" s="18"/>
      <c r="C32" s="20" t="s">
        <v>1118</v>
      </c>
      <c r="D32" s="19"/>
      <c r="E32" s="19"/>
      <c r="F32" s="19"/>
      <c r="G32" s="19"/>
      <c r="H32" s="19"/>
      <c r="I32" s="19"/>
      <c r="J32" s="20"/>
      <c r="K32" s="20"/>
      <c r="L32" s="20"/>
      <c r="M32" s="20"/>
      <c r="N32" s="20"/>
      <c r="O32" s="20"/>
      <c r="P32" s="26"/>
      <c r="Q32" s="2"/>
      <c r="R32" s="2"/>
      <c r="S32" s="2"/>
      <c r="T32" s="2"/>
      <c r="U32" s="2"/>
      <c r="V32" s="2"/>
      <c r="W32" s="2"/>
      <c r="X32" s="2"/>
      <c r="Y32" s="2"/>
      <c r="Z32" s="2"/>
      <c r="AA32" s="2"/>
      <c r="AB32" s="2"/>
      <c r="AC32" s="2"/>
      <c r="AD32" s="2"/>
      <c r="AE32" s="2"/>
      <c r="AF32" s="2"/>
    </row>
    <row r="33" spans="1:32" ht="14.4" thickBot="1" x14ac:dyDescent="0.35">
      <c r="A33" s="2"/>
      <c r="B33" s="21"/>
      <c r="C33" s="22"/>
      <c r="D33" s="23"/>
      <c r="E33" s="23"/>
      <c r="F33" s="23"/>
      <c r="G33" s="23"/>
      <c r="H33" s="23"/>
      <c r="I33" s="23"/>
      <c r="J33" s="22"/>
      <c r="K33" s="22"/>
      <c r="L33" s="22"/>
      <c r="M33" s="22"/>
      <c r="N33" s="22"/>
      <c r="O33" s="22"/>
      <c r="P33" s="27"/>
      <c r="Q33" s="2"/>
      <c r="R33" s="2"/>
      <c r="S33" s="2"/>
      <c r="T33" s="2"/>
      <c r="U33" s="2"/>
      <c r="V33" s="2"/>
      <c r="W33" s="2"/>
      <c r="X33" s="2"/>
      <c r="Y33" s="2"/>
      <c r="Z33" s="2"/>
      <c r="AA33" s="2"/>
      <c r="AB33" s="2"/>
      <c r="AC33" s="2"/>
      <c r="AD33" s="2"/>
      <c r="AE33" s="2"/>
      <c r="AF33" s="2"/>
    </row>
    <row r="34" spans="1:32" ht="4.05" customHeight="1" thickBot="1" x14ac:dyDescent="0.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ht="8.4" customHeight="1" x14ac:dyDescent="0.3">
      <c r="A35" s="2"/>
      <c r="B35" s="15"/>
      <c r="C35" s="16"/>
      <c r="D35" s="17"/>
      <c r="E35" s="24"/>
      <c r="F35" s="24"/>
      <c r="G35" s="24"/>
      <c r="H35" s="24"/>
      <c r="I35" s="24"/>
      <c r="J35" s="24"/>
      <c r="K35" s="24"/>
      <c r="L35" s="24"/>
      <c r="M35" s="24"/>
      <c r="N35" s="24"/>
      <c r="O35" s="24"/>
      <c r="P35" s="25"/>
      <c r="Q35" s="2"/>
      <c r="R35" s="2"/>
      <c r="S35" s="2"/>
      <c r="T35" s="2"/>
      <c r="U35" s="2"/>
      <c r="V35" s="2"/>
      <c r="W35" s="2"/>
      <c r="X35" s="2"/>
      <c r="Y35" s="2"/>
      <c r="Z35" s="2"/>
      <c r="AA35" s="2"/>
      <c r="AB35" s="2"/>
      <c r="AC35" s="2"/>
      <c r="AD35" s="2"/>
      <c r="AE35" s="2"/>
      <c r="AF35" s="2"/>
    </row>
    <row r="36" spans="1:32" ht="16.8" x14ac:dyDescent="0.4">
      <c r="A36" s="2"/>
      <c r="B36" s="18"/>
      <c r="C36" s="29" t="s">
        <v>34</v>
      </c>
      <c r="D36" s="19"/>
      <c r="E36" s="19"/>
      <c r="F36" s="19"/>
      <c r="G36" s="19"/>
      <c r="H36" s="19"/>
      <c r="I36" s="19"/>
      <c r="J36" s="20"/>
      <c r="K36" s="20"/>
      <c r="L36" s="20"/>
      <c r="M36" s="20"/>
      <c r="N36" s="20"/>
      <c r="O36" s="20"/>
      <c r="P36" s="26"/>
      <c r="Q36" s="2"/>
      <c r="R36" s="2"/>
      <c r="S36" s="2"/>
      <c r="T36" s="2"/>
      <c r="U36" s="2"/>
      <c r="V36" s="2"/>
      <c r="W36" s="2"/>
      <c r="X36" s="2"/>
      <c r="Y36" s="2"/>
      <c r="Z36" s="2"/>
      <c r="AA36" s="2"/>
      <c r="AB36" s="2"/>
      <c r="AC36" s="2"/>
      <c r="AD36" s="2"/>
      <c r="AE36" s="2"/>
      <c r="AF36" s="2"/>
    </row>
    <row r="37" spans="1:32" x14ac:dyDescent="0.3">
      <c r="A37" s="2"/>
      <c r="B37" s="18"/>
      <c r="C37" s="20" t="s">
        <v>1119</v>
      </c>
      <c r="D37" s="19"/>
      <c r="E37" s="19"/>
      <c r="F37" s="19"/>
      <c r="G37" s="19"/>
      <c r="H37" s="19"/>
      <c r="I37" s="19"/>
      <c r="J37" s="20"/>
      <c r="K37" s="20"/>
      <c r="L37" s="20"/>
      <c r="M37" s="20"/>
      <c r="N37" s="20"/>
      <c r="O37" s="20"/>
      <c r="P37" s="26"/>
      <c r="Q37" s="2"/>
      <c r="R37" s="2"/>
      <c r="S37" s="2"/>
      <c r="T37" s="2"/>
      <c r="U37" s="2"/>
      <c r="V37" s="2"/>
      <c r="W37" s="2"/>
      <c r="X37" s="2"/>
      <c r="Y37" s="2"/>
      <c r="Z37" s="2"/>
      <c r="AA37" s="2"/>
      <c r="AB37" s="2"/>
      <c r="AC37" s="2"/>
      <c r="AD37" s="2"/>
      <c r="AE37" s="2"/>
      <c r="AF37" s="2"/>
    </row>
    <row r="38" spans="1:32" ht="14.4" thickBot="1" x14ac:dyDescent="0.35">
      <c r="A38" s="2"/>
      <c r="B38" s="21"/>
      <c r="C38" s="22"/>
      <c r="D38" s="23"/>
      <c r="E38" s="23"/>
      <c r="F38" s="23"/>
      <c r="G38" s="23"/>
      <c r="H38" s="23"/>
      <c r="I38" s="23"/>
      <c r="J38" s="22"/>
      <c r="K38" s="22"/>
      <c r="L38" s="22"/>
      <c r="M38" s="22"/>
      <c r="N38" s="22"/>
      <c r="O38" s="22"/>
      <c r="P38" s="27"/>
      <c r="Q38" s="2"/>
      <c r="R38" s="2"/>
      <c r="S38" s="2"/>
      <c r="T38" s="2"/>
      <c r="U38" s="2"/>
      <c r="V38" s="2"/>
      <c r="W38" s="2"/>
      <c r="X38" s="2"/>
      <c r="Y38" s="2"/>
      <c r="Z38" s="2"/>
      <c r="AA38" s="2"/>
      <c r="AB38" s="2"/>
      <c r="AC38" s="2"/>
      <c r="AD38" s="2"/>
      <c r="AE38" s="2"/>
      <c r="AF38" s="2"/>
    </row>
    <row r="39" spans="1:32" x14ac:dyDescent="0.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hidden="1" x14ac:dyDescent="0.3"/>
    <row r="41" spans="1:32" hidden="1" x14ac:dyDescent="0.3"/>
    <row r="42" spans="1:32" hidden="1" x14ac:dyDescent="0.3"/>
    <row r="43" spans="1:32" hidden="1" x14ac:dyDescent="0.3"/>
    <row r="44" spans="1:32" hidden="1" x14ac:dyDescent="0.3"/>
    <row r="45" spans="1:32" hidden="1" x14ac:dyDescent="0.3"/>
    <row r="46" spans="1:32" hidden="1" x14ac:dyDescent="0.3"/>
    <row r="47" spans="1:32" hidden="1" x14ac:dyDescent="0.3"/>
    <row r="48" spans="1:32"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s="265" customFormat="1" x14ac:dyDescent="0.3"/>
  </sheetData>
  <sheetProtection algorithmName="SHA-512" hashValue="KkXfi//m9Fhnlm86wS2qtLnz52HdUS4GvOZZ3/V7JFi2bsm9syeNP2evQMYurYlZwXbDvcvzl6yaJKwrb/cIZw==" saltValue="K3ai9OwvY/0VRftjwXgpbw=="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tint="0.59999389629810485"/>
  </sheetPr>
  <dimension ref="A1:W259"/>
  <sheetViews>
    <sheetView tabSelected="1" zoomScale="70" zoomScaleNormal="55" workbookViewId="0">
      <selection activeCell="J17" sqref="J17"/>
    </sheetView>
  </sheetViews>
  <sheetFormatPr defaultColWidth="0" defaultRowHeight="12" zeroHeight="1" x14ac:dyDescent="0.25"/>
  <cols>
    <col min="1" max="1" width="2.5546875" style="216" customWidth="1"/>
    <col min="2" max="2" width="9.6640625" style="224" customWidth="1"/>
    <col min="3" max="3" width="1" style="224" customWidth="1"/>
    <col min="4" max="4" width="2.5546875" style="224" customWidth="1"/>
    <col min="5" max="5" width="50.5546875" style="253" customWidth="1"/>
    <col min="6" max="6" width="26.77734375" style="224" bestFit="1" customWidth="1"/>
    <col min="7" max="7" width="1.109375" style="224" customWidth="1"/>
    <col min="8" max="8" width="19.6640625" style="224" customWidth="1"/>
    <col min="9" max="9" width="1.21875" style="224" customWidth="1"/>
    <col min="10" max="10" width="34" style="224" customWidth="1"/>
    <col min="11" max="11" width="18.77734375" style="224" customWidth="1"/>
    <col min="12" max="12" width="2.44140625" style="224" customWidth="1"/>
    <col min="13" max="13" width="2.6640625" style="224" customWidth="1"/>
    <col min="14" max="14" width="1.33203125" style="224" customWidth="1"/>
    <col min="15" max="15" width="9.109375" style="224" customWidth="1"/>
    <col min="16" max="16" width="17.21875" style="224" customWidth="1"/>
    <col min="17" max="17" width="19.6640625" style="224" customWidth="1"/>
    <col min="18" max="18" width="17.44140625" style="224" customWidth="1"/>
    <col min="19" max="19" width="16.21875" style="224" customWidth="1"/>
    <col min="20" max="20" width="6.109375" style="224" customWidth="1"/>
    <col min="21" max="21" width="4.6640625" style="224" customWidth="1"/>
    <col min="22" max="22" width="13.77734375" style="224" customWidth="1"/>
    <col min="23" max="23" width="0" style="224" hidden="1" customWidth="1"/>
    <col min="24" max="16384" width="9.109375" style="224" hidden="1"/>
  </cols>
  <sheetData>
    <row r="1" spans="2:22" s="216" customFormat="1" ht="16.8" customHeight="1" thickBot="1" x14ac:dyDescent="0.45">
      <c r="C1" s="217"/>
      <c r="E1" s="218"/>
      <c r="G1" s="219"/>
      <c r="H1" s="219"/>
      <c r="I1" s="219"/>
      <c r="J1" s="220"/>
      <c r="M1" s="217"/>
      <c r="O1" s="221"/>
      <c r="P1" s="221"/>
    </row>
    <row r="2" spans="2:22" ht="16.8" customHeight="1" thickBot="1" x14ac:dyDescent="0.45">
      <c r="B2" s="220"/>
      <c r="C2" s="217"/>
      <c r="D2" s="170" t="s">
        <v>1545</v>
      </c>
      <c r="E2" s="171"/>
      <c r="F2" s="222"/>
      <c r="G2" s="223"/>
      <c r="H2" s="219"/>
      <c r="I2" s="219"/>
      <c r="J2" s="220"/>
      <c r="K2" s="216"/>
      <c r="L2" s="216"/>
      <c r="M2" s="217"/>
      <c r="N2" s="216"/>
      <c r="O2" s="221"/>
      <c r="P2" s="221"/>
      <c r="Q2" s="216"/>
      <c r="R2" s="216"/>
      <c r="S2" s="216"/>
      <c r="T2" s="216"/>
      <c r="U2" s="216"/>
      <c r="V2" s="216"/>
    </row>
    <row r="3" spans="2:22" ht="16.8" customHeight="1" thickBot="1" x14ac:dyDescent="0.45">
      <c r="B3" s="216"/>
      <c r="C3" s="217"/>
      <c r="D3" s="172" t="s">
        <v>1541</v>
      </c>
      <c r="E3" s="173"/>
      <c r="F3" s="157" t="s">
        <v>1628</v>
      </c>
      <c r="G3" s="225"/>
      <c r="H3" s="219"/>
      <c r="I3" s="219"/>
      <c r="J3" s="220"/>
      <c r="K3" s="216"/>
      <c r="L3" s="216"/>
      <c r="M3" s="217"/>
      <c r="N3" s="216"/>
      <c r="O3" s="221"/>
      <c r="P3" s="221"/>
      <c r="Q3" s="216"/>
      <c r="R3" s="216"/>
      <c r="S3" s="216"/>
      <c r="T3" s="216"/>
      <c r="U3" s="216"/>
      <c r="V3" s="216"/>
    </row>
    <row r="4" spans="2:22" ht="16.8" customHeight="1" thickBot="1" x14ac:dyDescent="0.45">
      <c r="B4" s="216"/>
      <c r="C4" s="217"/>
      <c r="D4" s="172" t="s">
        <v>1544</v>
      </c>
      <c r="E4" s="173"/>
      <c r="F4" s="157">
        <v>1234</v>
      </c>
      <c r="G4" s="226"/>
      <c r="H4" s="219"/>
      <c r="I4" s="219"/>
      <c r="J4" s="220"/>
      <c r="K4" s="216"/>
      <c r="L4" s="216"/>
      <c r="M4" s="217"/>
      <c r="N4" s="216"/>
      <c r="O4" s="221"/>
      <c r="P4" s="221"/>
      <c r="Q4" s="216"/>
      <c r="R4" s="216"/>
      <c r="S4" s="216"/>
      <c r="T4" s="216"/>
      <c r="U4" s="216"/>
      <c r="V4" s="216"/>
    </row>
    <row r="5" spans="2:22" ht="16.8" customHeight="1" thickBot="1" x14ac:dyDescent="0.45">
      <c r="B5" s="216"/>
      <c r="C5" s="217"/>
      <c r="D5" s="174"/>
      <c r="E5" s="175"/>
      <c r="F5" s="147" t="str">
        <f>IF(F4="","Voer wachtwoord in",IF(F4=Wachtwoorden!C5,"Wachtwoord correct","Wachtwoord incorrect"))</f>
        <v>Wachtwoord correct</v>
      </c>
      <c r="G5" s="227"/>
      <c r="H5" s="219"/>
      <c r="I5" s="219"/>
      <c r="J5" s="220"/>
      <c r="K5" s="216"/>
      <c r="L5" s="216"/>
      <c r="M5" s="217"/>
      <c r="N5" s="216"/>
      <c r="O5" s="221"/>
      <c r="P5" s="221"/>
      <c r="Q5" s="216"/>
      <c r="R5" s="216"/>
      <c r="S5" s="216"/>
      <c r="T5" s="216"/>
      <c r="U5" s="216"/>
      <c r="V5" s="216"/>
    </row>
    <row r="6" spans="2:22" s="216" customFormat="1" ht="16.8" customHeight="1" x14ac:dyDescent="0.4">
      <c r="C6" s="217"/>
      <c r="E6" s="218"/>
      <c r="G6" s="219"/>
      <c r="H6" s="219"/>
      <c r="I6" s="219"/>
      <c r="J6" s="220"/>
      <c r="M6" s="217"/>
      <c r="O6" s="221"/>
      <c r="P6" s="221"/>
    </row>
    <row r="7" spans="2:22" s="216" customFormat="1" ht="38.4" customHeight="1" thickBot="1" x14ac:dyDescent="0.45">
      <c r="C7" s="217" t="s">
        <v>5</v>
      </c>
      <c r="E7" s="218"/>
      <c r="F7" s="219" t="s">
        <v>1155</v>
      </c>
      <c r="G7" s="219"/>
      <c r="H7" s="219" t="s">
        <v>418</v>
      </c>
      <c r="I7" s="219"/>
      <c r="J7" s="228" t="s">
        <v>1121</v>
      </c>
      <c r="M7" s="229"/>
      <c r="N7" s="221"/>
      <c r="O7" s="221"/>
      <c r="P7" s="221"/>
      <c r="Q7" s="221"/>
      <c r="R7" s="221"/>
      <c r="S7" s="221"/>
      <c r="T7" s="221"/>
      <c r="U7" s="221"/>
      <c r="V7" s="221"/>
    </row>
    <row r="8" spans="2:22" ht="4.2" customHeight="1" x14ac:dyDescent="0.25">
      <c r="B8" s="230"/>
      <c r="C8" s="231"/>
      <c r="D8" s="231"/>
      <c r="E8" s="232"/>
      <c r="F8" s="231"/>
      <c r="G8" s="231"/>
      <c r="H8" s="231"/>
      <c r="I8" s="231"/>
      <c r="J8" s="231"/>
      <c r="K8" s="231"/>
      <c r="L8" s="233"/>
      <c r="M8" s="221"/>
      <c r="N8" s="221"/>
      <c r="O8" s="221"/>
      <c r="P8" s="221"/>
      <c r="Q8" s="221"/>
      <c r="R8" s="221"/>
      <c r="S8" s="221"/>
      <c r="T8" s="221"/>
      <c r="U8" s="221"/>
      <c r="V8" s="221"/>
    </row>
    <row r="9" spans="2:22" ht="12" customHeight="1" x14ac:dyDescent="0.35">
      <c r="B9" s="234">
        <v>1</v>
      </c>
      <c r="C9" s="235"/>
      <c r="D9" s="141"/>
      <c r="E9" s="236"/>
      <c r="F9" s="141"/>
      <c r="G9" s="141"/>
      <c r="H9" s="141"/>
      <c r="I9" s="141"/>
      <c r="J9" s="141"/>
      <c r="K9" s="141"/>
      <c r="L9" s="237"/>
      <c r="M9" s="221"/>
      <c r="N9" s="221"/>
      <c r="O9" s="221"/>
      <c r="P9" s="221"/>
      <c r="Q9" s="221"/>
      <c r="R9" s="221"/>
      <c r="S9" s="221"/>
      <c r="T9" s="221"/>
      <c r="U9" s="221"/>
      <c r="V9" s="221"/>
    </row>
    <row r="10" spans="2:22" ht="12" customHeight="1" x14ac:dyDescent="0.25">
      <c r="B10" s="238"/>
      <c r="C10" s="141"/>
      <c r="D10" s="141" t="s">
        <v>419</v>
      </c>
      <c r="E10" s="236"/>
      <c r="F10" s="141"/>
      <c r="G10" s="141"/>
      <c r="H10" s="141"/>
      <c r="I10" s="141"/>
      <c r="J10" s="141"/>
      <c r="K10" s="141"/>
      <c r="L10" s="237"/>
      <c r="M10" s="221"/>
      <c r="N10" s="221"/>
      <c r="O10" s="221"/>
      <c r="P10" s="221"/>
      <c r="Q10" s="221"/>
      <c r="R10" s="221"/>
      <c r="S10" s="221"/>
      <c r="T10" s="221"/>
      <c r="U10" s="221"/>
      <c r="V10" s="221"/>
    </row>
    <row r="11" spans="2:22" ht="12" customHeight="1" x14ac:dyDescent="0.25">
      <c r="B11" s="238"/>
      <c r="C11" s="141"/>
      <c r="D11" s="141"/>
      <c r="E11" s="236"/>
      <c r="F11" s="141"/>
      <c r="G11" s="141"/>
      <c r="H11" s="141"/>
      <c r="I11" s="141"/>
      <c r="J11" s="141"/>
      <c r="K11" s="141"/>
      <c r="L11" s="237"/>
      <c r="M11" s="221"/>
      <c r="N11" s="221"/>
      <c r="O11" s="221"/>
      <c r="P11" s="221"/>
      <c r="Q11" s="221"/>
      <c r="R11" s="221"/>
      <c r="S11" s="221"/>
      <c r="T11" s="221"/>
      <c r="U11" s="221"/>
      <c r="V11" s="221"/>
    </row>
    <row r="12" spans="2:22" ht="12" customHeight="1" x14ac:dyDescent="0.25">
      <c r="B12" s="238"/>
      <c r="C12" s="141"/>
      <c r="D12" s="141"/>
      <c r="E12" s="236"/>
      <c r="F12" s="141"/>
      <c r="G12" s="141"/>
      <c r="H12" s="141"/>
      <c r="I12" s="141"/>
      <c r="J12" s="141"/>
      <c r="K12" s="141"/>
      <c r="L12" s="237"/>
      <c r="M12" s="221"/>
      <c r="N12" s="221"/>
      <c r="O12" s="221"/>
      <c r="P12" s="221"/>
      <c r="Q12" s="221"/>
      <c r="R12" s="221"/>
      <c r="S12" s="221"/>
      <c r="T12" s="221"/>
      <c r="U12" s="221"/>
      <c r="V12" s="221"/>
    </row>
    <row r="13" spans="2:22" ht="12" customHeight="1" x14ac:dyDescent="0.25">
      <c r="B13" s="238"/>
      <c r="C13" s="141"/>
      <c r="D13" s="141"/>
      <c r="E13" s="236"/>
      <c r="F13" s="141"/>
      <c r="G13" s="141"/>
      <c r="H13" s="141"/>
      <c r="I13" s="141"/>
      <c r="J13" s="141"/>
      <c r="K13" s="141"/>
      <c r="L13" s="237"/>
      <c r="M13" s="221"/>
      <c r="N13" s="221"/>
      <c r="O13" s="221"/>
      <c r="P13" s="221"/>
      <c r="Q13" s="221"/>
      <c r="R13" s="221"/>
      <c r="S13" s="221"/>
      <c r="T13" s="221"/>
      <c r="U13" s="221"/>
      <c r="V13" s="221"/>
    </row>
    <row r="14" spans="2:22" ht="4.2" customHeight="1" x14ac:dyDescent="0.25">
      <c r="B14" s="238"/>
      <c r="C14" s="141"/>
      <c r="D14" s="141"/>
      <c r="E14" s="236"/>
      <c r="F14" s="141"/>
      <c r="G14" s="141"/>
      <c r="H14" s="141"/>
      <c r="I14" s="141"/>
      <c r="J14" s="141"/>
      <c r="K14" s="141"/>
      <c r="L14" s="237"/>
      <c r="M14" s="221"/>
      <c r="N14" s="221"/>
      <c r="O14" s="221"/>
      <c r="P14" s="221"/>
      <c r="Q14" s="221"/>
      <c r="R14" s="221"/>
      <c r="S14" s="221"/>
      <c r="T14" s="221"/>
      <c r="U14" s="221"/>
      <c r="V14" s="221"/>
    </row>
    <row r="15" spans="2:22" ht="12.6" customHeight="1" thickBot="1" x14ac:dyDescent="0.4">
      <c r="B15" s="238"/>
      <c r="C15" s="235" t="s">
        <v>6</v>
      </c>
      <c r="D15" s="141"/>
      <c r="E15" s="236"/>
      <c r="F15" s="141"/>
      <c r="G15" s="141"/>
      <c r="H15" s="141"/>
      <c r="I15" s="141"/>
      <c r="J15" s="141"/>
      <c r="K15" s="141"/>
      <c r="L15" s="237"/>
      <c r="M15" s="221"/>
      <c r="N15" s="221"/>
      <c r="O15" s="221"/>
      <c r="P15" s="221"/>
      <c r="Q15" s="221"/>
      <c r="R15" s="221"/>
      <c r="S15" s="221"/>
      <c r="T15" s="221"/>
      <c r="U15" s="221"/>
      <c r="V15" s="221"/>
    </row>
    <row r="16" spans="2:22" ht="12.6" thickBot="1" x14ac:dyDescent="0.3">
      <c r="B16" s="179"/>
      <c r="C16" s="180"/>
      <c r="D16" s="148" t="s">
        <v>1611</v>
      </c>
      <c r="E16" s="177"/>
      <c r="F16" s="158">
        <f>IF($F$5="Wachtwoord correct",(HLOOKUP($F$3,Gemeentecijfers!$M$2:$NE$42,Gemeentecijfers!K7,FALSE)),"-")</f>
        <v>60000</v>
      </c>
      <c r="G16" s="141"/>
      <c r="H16" s="163">
        <v>60000</v>
      </c>
      <c r="I16" s="141"/>
      <c r="J16" s="167">
        <v>60000</v>
      </c>
      <c r="K16" s="141"/>
      <c r="L16" s="239"/>
      <c r="M16" s="240"/>
      <c r="N16" s="221"/>
      <c r="O16" s="221"/>
      <c r="P16" s="221"/>
      <c r="Q16" s="221"/>
      <c r="R16" s="221"/>
      <c r="S16" s="221"/>
      <c r="T16" s="221"/>
      <c r="U16" s="221"/>
      <c r="V16" s="221"/>
    </row>
    <row r="17" spans="2:22" x14ac:dyDescent="0.25">
      <c r="B17" s="179"/>
      <c r="C17" s="180"/>
      <c r="D17" s="148"/>
      <c r="E17" s="177"/>
      <c r="F17" s="148"/>
      <c r="G17" s="141"/>
      <c r="H17" s="141"/>
      <c r="I17" s="141"/>
      <c r="J17" s="141"/>
      <c r="K17" s="141"/>
      <c r="L17" s="237"/>
      <c r="M17" s="240"/>
      <c r="N17" s="221"/>
      <c r="O17" s="221"/>
      <c r="P17" s="221"/>
      <c r="Q17" s="221"/>
      <c r="R17" s="221"/>
      <c r="S17" s="221"/>
      <c r="T17" s="221"/>
      <c r="U17" s="221"/>
      <c r="V17" s="221"/>
    </row>
    <row r="18" spans="2:22" ht="15.6" thickBot="1" x14ac:dyDescent="0.4">
      <c r="B18" s="179"/>
      <c r="C18" s="176" t="s">
        <v>8</v>
      </c>
      <c r="D18" s="148"/>
      <c r="E18" s="177"/>
      <c r="F18" s="148"/>
      <c r="G18" s="141"/>
      <c r="H18" s="141"/>
      <c r="I18" s="141"/>
      <c r="J18" s="141"/>
      <c r="K18" s="141"/>
      <c r="L18" s="237"/>
      <c r="M18" s="240"/>
      <c r="N18" s="221"/>
      <c r="O18" s="221"/>
      <c r="P18" s="221"/>
      <c r="Q18" s="221"/>
      <c r="R18" s="221"/>
      <c r="S18" s="221"/>
      <c r="T18" s="221"/>
      <c r="U18" s="221"/>
      <c r="V18" s="221"/>
    </row>
    <row r="19" spans="2:22" ht="15.6" thickBot="1" x14ac:dyDescent="0.4">
      <c r="B19" s="179"/>
      <c r="C19" s="176"/>
      <c r="D19" s="148"/>
      <c r="E19" s="148" t="s">
        <v>1156</v>
      </c>
      <c r="F19" s="148"/>
      <c r="G19" s="141"/>
      <c r="H19" s="141"/>
      <c r="I19" s="141"/>
      <c r="J19" s="189" t="s">
        <v>1567</v>
      </c>
      <c r="K19" s="141"/>
      <c r="L19" s="237"/>
      <c r="M19" s="240"/>
      <c r="N19" s="221"/>
      <c r="O19" s="221"/>
      <c r="P19" s="221"/>
      <c r="Q19" s="221"/>
      <c r="R19" s="221"/>
      <c r="S19" s="221"/>
      <c r="T19" s="221"/>
      <c r="U19" s="221"/>
      <c r="V19" s="221"/>
    </row>
    <row r="20" spans="2:22" ht="4.05" customHeight="1" thickBot="1" x14ac:dyDescent="0.4">
      <c r="B20" s="179"/>
      <c r="C20" s="176"/>
      <c r="D20" s="148"/>
      <c r="E20" s="177"/>
      <c r="F20" s="148"/>
      <c r="G20" s="141"/>
      <c r="H20" s="141"/>
      <c r="I20" s="141"/>
      <c r="J20" s="141"/>
      <c r="K20" s="141"/>
      <c r="L20" s="237"/>
      <c r="M20" s="240"/>
      <c r="N20" s="221"/>
      <c r="O20" s="221"/>
      <c r="P20" s="221"/>
      <c r="Q20" s="221"/>
      <c r="R20" s="221"/>
      <c r="S20" s="221"/>
      <c r="T20" s="221"/>
      <c r="U20" s="221"/>
      <c r="V20" s="221"/>
    </row>
    <row r="21" spans="2:22" ht="12.6" thickBot="1" x14ac:dyDescent="0.3">
      <c r="B21" s="179"/>
      <c r="C21" s="180"/>
      <c r="D21" s="148" t="s">
        <v>1612</v>
      </c>
      <c r="E21" s="181"/>
      <c r="F21" s="159">
        <f>IF($F$5="Wachtwoord correct",(HLOOKUP($F$3,Gemeentecijfers!$M$2:$NE$42,Gemeentecijfers!K12,FALSE)),"-")</f>
        <v>0.15</v>
      </c>
      <c r="G21" s="149"/>
      <c r="H21" s="164">
        <f>F21</f>
        <v>0.15</v>
      </c>
      <c r="I21" s="149"/>
      <c r="J21" s="168">
        <f>F21</f>
        <v>0.15</v>
      </c>
      <c r="K21" s="241"/>
      <c r="L21" s="239"/>
      <c r="M21" s="221"/>
      <c r="N21" s="221"/>
      <c r="O21" s="221"/>
      <c r="P21" s="221"/>
      <c r="Q21" s="221"/>
      <c r="R21" s="221"/>
      <c r="S21" s="221"/>
      <c r="T21" s="221"/>
      <c r="U21" s="221"/>
      <c r="V21" s="221"/>
    </row>
    <row r="22" spans="2:22" ht="12.6" thickBot="1" x14ac:dyDescent="0.3">
      <c r="B22" s="179"/>
      <c r="C22" s="180"/>
      <c r="D22" s="148" t="s">
        <v>1613</v>
      </c>
      <c r="E22" s="181"/>
      <c r="F22" s="159">
        <f>IF($F$5="Wachtwoord correct",(HLOOKUP($F$3,Gemeentecijfers!$M$2:$NE$42,Gemeentecijfers!K13,FALSE)),"-")</f>
        <v>0</v>
      </c>
      <c r="G22" s="149"/>
      <c r="H22" s="164">
        <f>F22</f>
        <v>0</v>
      </c>
      <c r="I22" s="149"/>
      <c r="J22" s="168">
        <v>0</v>
      </c>
      <c r="K22" s="241"/>
      <c r="L22" s="239"/>
      <c r="M22" s="221"/>
      <c r="N22" s="221"/>
      <c r="O22" s="221"/>
      <c r="P22" s="221"/>
      <c r="Q22" s="221"/>
      <c r="R22" s="221"/>
      <c r="S22" s="221"/>
      <c r="T22" s="221"/>
      <c r="U22" s="221"/>
      <c r="V22" s="221"/>
    </row>
    <row r="23" spans="2:22" ht="12.6" thickBot="1" x14ac:dyDescent="0.3">
      <c r="B23" s="179"/>
      <c r="C23" s="180"/>
      <c r="D23" s="148" t="s">
        <v>1614</v>
      </c>
      <c r="E23" s="177"/>
      <c r="F23" s="159">
        <f>IF($F$5="Wachtwoord correct",(HLOOKUP($F$3,Gemeentecijfers!$M$2:$NE$42,Gemeentecijfers!K14,FALSE)),"-")</f>
        <v>0.25</v>
      </c>
      <c r="G23" s="150"/>
      <c r="H23" s="164">
        <f t="shared" ref="H23" si="0">F23</f>
        <v>0.25</v>
      </c>
      <c r="I23" s="150"/>
      <c r="J23" s="168">
        <f>F23</f>
        <v>0.25</v>
      </c>
      <c r="K23" s="141"/>
      <c r="L23" s="239"/>
      <c r="M23" s="221"/>
      <c r="N23" s="221"/>
      <c r="O23" s="221"/>
      <c r="P23" s="221"/>
      <c r="Q23" s="221"/>
      <c r="R23" s="221"/>
      <c r="S23" s="221"/>
      <c r="T23" s="221"/>
      <c r="U23" s="221"/>
      <c r="V23" s="221"/>
    </row>
    <row r="24" spans="2:22" ht="12.6" thickBot="1" x14ac:dyDescent="0.3">
      <c r="B24" s="179"/>
      <c r="C24" s="180"/>
      <c r="D24" s="148" t="s">
        <v>1615</v>
      </c>
      <c r="E24" s="177"/>
      <c r="F24" s="159">
        <f>IF($F$5="Wachtwoord correct",(HLOOKUP($F$3,Gemeentecijfers!$M$2:$NE$42,Gemeentecijfers!K15,FALSE)),"-")</f>
        <v>0.6</v>
      </c>
      <c r="G24" s="150"/>
      <c r="H24" s="164">
        <f>IF($F$5="Wachtwoord correct",1-H21-H22-H23,"-")</f>
        <v>0.6</v>
      </c>
      <c r="I24" s="150"/>
      <c r="J24" s="168">
        <f>IF($F$5="Wachtwoord correct",1-J21-J22-J23,"-")</f>
        <v>0.6</v>
      </c>
      <c r="K24" s="141"/>
      <c r="L24" s="239"/>
      <c r="M24" s="221"/>
      <c r="N24" s="221"/>
      <c r="O24" s="221"/>
      <c r="P24" s="221"/>
      <c r="Q24" s="221"/>
      <c r="R24" s="221"/>
      <c r="S24" s="221"/>
      <c r="T24" s="221"/>
      <c r="U24" s="221"/>
      <c r="V24" s="221"/>
    </row>
    <row r="25" spans="2:22" ht="4.05" customHeight="1" thickBot="1" x14ac:dyDescent="0.3">
      <c r="B25" s="179"/>
      <c r="C25" s="180"/>
      <c r="D25" s="148"/>
      <c r="E25" s="177"/>
      <c r="F25" s="156"/>
      <c r="G25" s="150"/>
      <c r="H25" s="150">
        <f>1-H23-H22-H21</f>
        <v>0.6</v>
      </c>
      <c r="I25" s="150"/>
      <c r="J25" s="149"/>
      <c r="K25" s="141"/>
      <c r="L25" s="239"/>
      <c r="M25" s="221"/>
      <c r="N25" s="221"/>
      <c r="O25" s="221"/>
      <c r="P25" s="221"/>
      <c r="R25" s="221"/>
      <c r="S25" s="221"/>
      <c r="T25" s="221"/>
      <c r="U25" s="221"/>
      <c r="V25" s="221"/>
    </row>
    <row r="26" spans="2:22" ht="12.6" thickBot="1" x14ac:dyDescent="0.3">
      <c r="B26" s="179"/>
      <c r="C26" s="180"/>
      <c r="D26" s="148"/>
      <c r="E26" s="148" t="s">
        <v>1185</v>
      </c>
      <c r="F26" s="159">
        <f>IF($F$5="Wachtwoord correct",SUM(F21:F24),"-")</f>
        <v>1</v>
      </c>
      <c r="G26" s="150"/>
      <c r="H26" s="164">
        <f>IF($F$5="Wachtwoord correct",SUM(H21:H24),"-")</f>
        <v>1</v>
      </c>
      <c r="I26" s="150"/>
      <c r="J26" s="164">
        <f>IF($F$5="Wachtwoord correct",SUM(J21:J24),"-")</f>
        <v>1</v>
      </c>
      <c r="K26" s="141"/>
      <c r="L26" s="239"/>
      <c r="M26" s="221"/>
      <c r="N26" s="221"/>
      <c r="O26" s="221"/>
      <c r="P26" s="221"/>
      <c r="Q26" s="221"/>
      <c r="R26" s="221"/>
      <c r="S26" s="221"/>
      <c r="T26" s="221"/>
      <c r="U26" s="221"/>
      <c r="V26" s="221"/>
    </row>
    <row r="27" spans="2:22" ht="12.6" customHeight="1" x14ac:dyDescent="0.25">
      <c r="B27" s="179"/>
      <c r="C27" s="180"/>
      <c r="D27" s="148"/>
      <c r="E27" s="177"/>
      <c r="F27" s="148"/>
      <c r="G27" s="141"/>
      <c r="H27" s="141"/>
      <c r="I27" s="141"/>
      <c r="J27" s="141"/>
      <c r="K27" s="141"/>
      <c r="L27" s="237"/>
      <c r="M27" s="221"/>
      <c r="N27" s="240"/>
      <c r="O27" s="221"/>
      <c r="P27" s="221"/>
      <c r="Q27" s="221"/>
      <c r="R27" s="221"/>
      <c r="S27" s="221"/>
      <c r="T27" s="221"/>
      <c r="U27" s="221"/>
      <c r="V27" s="221"/>
    </row>
    <row r="28" spans="2:22" ht="12.6" customHeight="1" thickBot="1" x14ac:dyDescent="0.4">
      <c r="B28" s="179"/>
      <c r="C28" s="176" t="s">
        <v>406</v>
      </c>
      <c r="D28" s="148"/>
      <c r="E28" s="177"/>
      <c r="F28" s="148"/>
      <c r="G28" s="141"/>
      <c r="H28" s="141"/>
      <c r="I28" s="141"/>
      <c r="J28" s="141"/>
      <c r="K28" s="141"/>
      <c r="L28" s="239"/>
      <c r="M28" s="221"/>
      <c r="N28" s="221"/>
      <c r="O28" s="221"/>
      <c r="P28" s="221"/>
      <c r="Q28" s="221"/>
      <c r="R28" s="221"/>
      <c r="S28" s="221"/>
      <c r="T28" s="221"/>
      <c r="U28" s="221"/>
      <c r="V28" s="221"/>
    </row>
    <row r="29" spans="2:22" ht="12.6" customHeight="1" thickBot="1" x14ac:dyDescent="0.4">
      <c r="B29" s="179"/>
      <c r="C29" s="176"/>
      <c r="D29" s="148" t="s">
        <v>1616</v>
      </c>
      <c r="E29" s="177"/>
      <c r="F29" s="160">
        <f>IF($F$5="Wachtwoord correct",(HLOOKUP($F$3,Gemeentecijfers!$M$2:$NE$42,Gemeentecijfers!K24,FALSE)),"-")</f>
        <v>500</v>
      </c>
      <c r="G29" s="141"/>
      <c r="H29" s="165">
        <f>F29</f>
        <v>500</v>
      </c>
      <c r="I29" s="154"/>
      <c r="J29" s="169">
        <f>F29</f>
        <v>500</v>
      </c>
      <c r="K29" s="141"/>
      <c r="L29" s="239"/>
      <c r="M29" s="221"/>
      <c r="N29" s="221"/>
      <c r="O29" s="221"/>
      <c r="P29" s="221"/>
      <c r="Q29" s="221"/>
      <c r="R29" s="221"/>
      <c r="S29" s="221"/>
      <c r="T29" s="221"/>
      <c r="U29" s="221"/>
      <c r="V29" s="221"/>
    </row>
    <row r="30" spans="2:22" ht="12.6" customHeight="1" thickBot="1" x14ac:dyDescent="0.4">
      <c r="B30" s="179"/>
      <c r="C30" s="176"/>
      <c r="D30" s="148" t="s">
        <v>1619</v>
      </c>
      <c r="E30" s="177"/>
      <c r="F30" s="160">
        <f>IF($F$5="Wachtwoord correct",(HLOOKUP($F$3,Gemeentecijfers!$M$2:$NE$42,Gemeentecijfers!K25,FALSE)),"-")</f>
        <v>1.5</v>
      </c>
      <c r="G30" s="141"/>
      <c r="H30" s="165">
        <f>F30</f>
        <v>1.5</v>
      </c>
      <c r="I30" s="154"/>
      <c r="J30" s="169">
        <f t="shared" ref="J30:J32" si="1">F30</f>
        <v>1.5</v>
      </c>
      <c r="K30" s="141"/>
      <c r="L30" s="239"/>
      <c r="M30" s="221"/>
      <c r="N30" s="221"/>
      <c r="O30" s="221"/>
      <c r="P30" s="221"/>
      <c r="Q30" s="221"/>
      <c r="R30" s="221"/>
      <c r="S30" s="221"/>
      <c r="T30" s="221"/>
      <c r="U30" s="221"/>
      <c r="V30" s="221"/>
    </row>
    <row r="31" spans="2:22" ht="12.6" customHeight="1" thickBot="1" x14ac:dyDescent="0.4">
      <c r="B31" s="179"/>
      <c r="C31" s="176"/>
      <c r="D31" s="148" t="s">
        <v>1617</v>
      </c>
      <c r="E31" s="177"/>
      <c r="F31" s="160">
        <f>IF($F$5="Wachtwoord correct",(HLOOKUP($F$3,Gemeentecijfers!$M$2:$NE$42,Gemeentecijfers!K26,FALSE)),"-")</f>
        <v>65</v>
      </c>
      <c r="G31" s="141"/>
      <c r="H31" s="165">
        <f t="shared" ref="H31:H32" si="2">F31</f>
        <v>65</v>
      </c>
      <c r="I31" s="154"/>
      <c r="J31" s="169">
        <f t="shared" si="1"/>
        <v>65</v>
      </c>
      <c r="K31" s="141"/>
      <c r="L31" s="239"/>
      <c r="M31" s="221"/>
      <c r="N31" s="221"/>
      <c r="O31" s="221"/>
      <c r="P31" s="221"/>
      <c r="Q31" s="221"/>
      <c r="R31" s="221"/>
      <c r="S31" s="221"/>
      <c r="T31" s="221"/>
      <c r="U31" s="221"/>
      <c r="V31" s="221"/>
    </row>
    <row r="32" spans="2:22" ht="12.6" customHeight="1" thickBot="1" x14ac:dyDescent="0.4">
      <c r="B32" s="179"/>
      <c r="C32" s="176"/>
      <c r="D32" s="148" t="s">
        <v>1618</v>
      </c>
      <c r="E32" s="177"/>
      <c r="F32" s="160">
        <f>IF($F$5="Wachtwoord correct",(HLOOKUP($F$3,Gemeentecijfers!$M$2:$NE$42,Gemeentecijfers!K27,FALSE)),"-")</f>
        <v>0</v>
      </c>
      <c r="G32" s="141"/>
      <c r="H32" s="165">
        <f t="shared" si="2"/>
        <v>0</v>
      </c>
      <c r="I32" s="154"/>
      <c r="J32" s="169">
        <f t="shared" si="1"/>
        <v>0</v>
      </c>
      <c r="K32" s="141"/>
      <c r="L32" s="239"/>
      <c r="M32" s="221"/>
      <c r="N32" s="221"/>
      <c r="O32" s="221"/>
      <c r="P32" s="221"/>
      <c r="Q32" s="221"/>
      <c r="R32" s="221"/>
      <c r="S32" s="221"/>
      <c r="T32" s="221"/>
      <c r="U32" s="221"/>
      <c r="V32" s="221"/>
    </row>
    <row r="33" spans="1:22" ht="4.05" customHeight="1" thickBot="1" x14ac:dyDescent="0.4">
      <c r="B33" s="179"/>
      <c r="C33" s="176"/>
      <c r="D33" s="148"/>
      <c r="E33" s="177"/>
      <c r="F33" s="148"/>
      <c r="G33" s="141"/>
      <c r="H33" s="154"/>
      <c r="I33" s="154"/>
      <c r="J33" s="154"/>
      <c r="K33" s="141"/>
      <c r="L33" s="239"/>
      <c r="M33" s="221"/>
      <c r="N33" s="221"/>
      <c r="O33" s="221"/>
      <c r="P33" s="221"/>
      <c r="Q33" s="221"/>
      <c r="R33" s="221"/>
      <c r="S33" s="221"/>
      <c r="T33" s="221"/>
      <c r="U33" s="221"/>
      <c r="V33" s="221"/>
    </row>
    <row r="34" spans="1:22" ht="12.6" customHeight="1" thickBot="1" x14ac:dyDescent="0.3">
      <c r="B34" s="179"/>
      <c r="C34" s="180"/>
      <c r="D34" s="148" t="s">
        <v>1555</v>
      </c>
      <c r="E34" s="177"/>
      <c r="F34" s="161">
        <f>IF($F$5="Wachtwoord correct",(HLOOKUP($F$3,Gemeentecijfers!$M$2:$NE$42,Gemeentecijfers!K31,FALSE)),"-")</f>
        <v>616</v>
      </c>
      <c r="G34" s="149"/>
      <c r="H34" s="165">
        <f>F34</f>
        <v>616</v>
      </c>
      <c r="I34" s="155"/>
      <c r="J34" s="169">
        <f>F34</f>
        <v>616</v>
      </c>
      <c r="K34" s="241"/>
      <c r="L34" s="239"/>
      <c r="M34" s="221"/>
      <c r="N34" s="221"/>
      <c r="O34" s="221"/>
      <c r="P34" s="221"/>
      <c r="Q34" s="221"/>
      <c r="R34" s="221"/>
      <c r="S34" s="221"/>
      <c r="T34" s="221"/>
      <c r="U34" s="221"/>
      <c r="V34" s="221"/>
    </row>
    <row r="35" spans="1:22" ht="4.05" customHeight="1" thickBot="1" x14ac:dyDescent="0.3">
      <c r="B35" s="178"/>
      <c r="C35" s="148"/>
      <c r="D35" s="148"/>
      <c r="E35" s="177"/>
      <c r="F35" s="153"/>
      <c r="G35" s="151"/>
      <c r="H35" s="151"/>
      <c r="I35" s="151"/>
      <c r="J35" s="151"/>
      <c r="K35" s="141"/>
      <c r="L35" s="237"/>
      <c r="M35" s="221"/>
      <c r="N35" s="221"/>
      <c r="O35" s="221"/>
      <c r="P35" s="221"/>
      <c r="Q35" s="221"/>
      <c r="R35" s="221"/>
      <c r="S35" s="221"/>
      <c r="T35" s="221"/>
      <c r="U35" s="221"/>
      <c r="V35" s="221"/>
    </row>
    <row r="36" spans="1:22" ht="12.6" thickBot="1" x14ac:dyDescent="0.3">
      <c r="B36" s="178"/>
      <c r="C36" s="148"/>
      <c r="D36" s="148" t="s">
        <v>1583</v>
      </c>
      <c r="E36" s="177"/>
      <c r="F36" s="153"/>
      <c r="G36" s="151"/>
      <c r="H36" s="151"/>
      <c r="I36" s="151"/>
      <c r="J36" s="169"/>
      <c r="K36" s="242">
        <v>1</v>
      </c>
      <c r="L36" s="237"/>
      <c r="M36" s="221"/>
      <c r="N36" s="221"/>
      <c r="O36" s="221"/>
      <c r="P36" s="221"/>
      <c r="Q36" s="221"/>
      <c r="R36" s="221"/>
      <c r="S36" s="221"/>
      <c r="T36" s="221"/>
      <c r="U36" s="221"/>
      <c r="V36" s="221"/>
    </row>
    <row r="37" spans="1:22" ht="0.45" customHeight="1" thickBot="1" x14ac:dyDescent="0.3">
      <c r="B37" s="178"/>
      <c r="C37" s="148"/>
      <c r="D37" s="148"/>
      <c r="E37" s="177"/>
      <c r="F37" s="153"/>
      <c r="G37" s="151"/>
      <c r="H37" s="151"/>
      <c r="I37" s="151"/>
      <c r="J37" s="151"/>
      <c r="K37" s="242"/>
      <c r="L37" s="237"/>
      <c r="M37" s="221"/>
      <c r="N37" s="221"/>
      <c r="O37" s="221"/>
      <c r="P37" s="221"/>
      <c r="Q37" s="221"/>
      <c r="R37" s="221"/>
      <c r="S37" s="221"/>
      <c r="T37" s="221"/>
      <c r="U37" s="221"/>
      <c r="V37" s="221"/>
    </row>
    <row r="38" spans="1:22" ht="12.6" thickBot="1" x14ac:dyDescent="0.3">
      <c r="B38" s="178"/>
      <c r="C38" s="148"/>
      <c r="D38" s="148" t="s">
        <v>1584</v>
      </c>
      <c r="E38" s="177"/>
      <c r="F38" s="153"/>
      <c r="G38" s="151"/>
      <c r="H38" s="151"/>
      <c r="I38" s="151"/>
      <c r="J38" s="169">
        <v>65</v>
      </c>
      <c r="K38" s="242"/>
      <c r="L38" s="237"/>
      <c r="M38" s="221"/>
      <c r="N38" s="221"/>
      <c r="O38" s="221"/>
      <c r="P38" s="221"/>
      <c r="Q38" s="221"/>
      <c r="R38" s="221"/>
      <c r="S38" s="221"/>
      <c r="T38" s="221"/>
      <c r="U38" s="221"/>
      <c r="V38" s="221"/>
    </row>
    <row r="39" spans="1:22" ht="12.6" thickBot="1" x14ac:dyDescent="0.3">
      <c r="B39" s="178"/>
      <c r="C39" s="148"/>
      <c r="D39" s="148"/>
      <c r="E39" s="177"/>
      <c r="F39" s="153"/>
      <c r="G39" s="151"/>
      <c r="H39" s="151"/>
      <c r="I39" s="151"/>
      <c r="J39" s="151"/>
      <c r="K39" s="141"/>
      <c r="L39" s="237"/>
      <c r="M39" s="221"/>
      <c r="N39" s="221"/>
      <c r="O39" s="221"/>
      <c r="P39" s="221"/>
      <c r="Q39" s="221"/>
      <c r="R39" s="221"/>
      <c r="S39" s="221"/>
      <c r="T39" s="221"/>
      <c r="U39" s="221"/>
      <c r="V39" s="221"/>
    </row>
    <row r="40" spans="1:22" ht="12.6" thickBot="1" x14ac:dyDescent="0.3">
      <c r="B40" s="178"/>
      <c r="C40" s="148"/>
      <c r="D40" s="148" t="s">
        <v>1597</v>
      </c>
      <c r="E40" s="177"/>
      <c r="F40" s="159">
        <v>1</v>
      </c>
      <c r="G40" s="151"/>
      <c r="H40" s="164">
        <v>1</v>
      </c>
      <c r="I40" s="151"/>
      <c r="J40" s="168">
        <v>1</v>
      </c>
      <c r="K40" s="141"/>
      <c r="L40" s="237"/>
      <c r="M40" s="221"/>
      <c r="N40" s="221"/>
      <c r="O40" s="221"/>
      <c r="P40" s="221"/>
      <c r="Q40" s="221"/>
      <c r="R40" s="221"/>
      <c r="S40" s="221"/>
      <c r="T40" s="221"/>
      <c r="U40" s="221"/>
      <c r="V40" s="221"/>
    </row>
    <row r="41" spans="1:22" ht="12.6" thickBot="1" x14ac:dyDescent="0.3">
      <c r="B41" s="178"/>
      <c r="C41" s="148"/>
      <c r="D41" s="148" t="s">
        <v>1598</v>
      </c>
      <c r="E41" s="177"/>
      <c r="F41" s="159">
        <v>1</v>
      </c>
      <c r="G41" s="151"/>
      <c r="H41" s="164">
        <v>1</v>
      </c>
      <c r="I41" s="151"/>
      <c r="J41" s="168">
        <v>1</v>
      </c>
      <c r="K41" s="141"/>
      <c r="L41" s="237"/>
      <c r="M41" s="221"/>
      <c r="N41" s="221"/>
      <c r="O41" s="221"/>
      <c r="P41" s="221"/>
      <c r="Q41" s="221"/>
      <c r="R41" s="221"/>
      <c r="S41" s="221"/>
      <c r="T41" s="221"/>
      <c r="U41" s="221"/>
      <c r="V41" s="221"/>
    </row>
    <row r="42" spans="1:22" x14ac:dyDescent="0.25">
      <c r="B42" s="178"/>
      <c r="C42" s="148"/>
      <c r="D42" s="148"/>
      <c r="E42" s="177"/>
      <c r="F42" s="153"/>
      <c r="G42" s="151"/>
      <c r="H42" s="151"/>
      <c r="I42" s="151"/>
      <c r="J42" s="151"/>
      <c r="K42" s="141"/>
      <c r="L42" s="237"/>
      <c r="M42" s="221"/>
      <c r="N42" s="221"/>
      <c r="O42" s="221"/>
      <c r="P42" s="221"/>
      <c r="Q42" s="221"/>
      <c r="R42" s="221"/>
      <c r="S42" s="221"/>
      <c r="T42" s="221"/>
      <c r="U42" s="221"/>
      <c r="V42" s="221"/>
    </row>
    <row r="43" spans="1:22" ht="15.6" thickBot="1" x14ac:dyDescent="0.4">
      <c r="B43" s="178"/>
      <c r="C43" s="176" t="s">
        <v>693</v>
      </c>
      <c r="D43" s="148"/>
      <c r="E43" s="177"/>
      <c r="F43" s="153"/>
      <c r="G43" s="151"/>
      <c r="H43" s="151"/>
      <c r="I43" s="151"/>
      <c r="J43" s="151"/>
      <c r="K43" s="141"/>
      <c r="L43" s="237"/>
      <c r="M43" s="221"/>
      <c r="N43" s="221"/>
      <c r="O43" s="221"/>
      <c r="P43" s="221"/>
      <c r="Q43" s="221"/>
      <c r="R43" s="221"/>
      <c r="S43" s="221"/>
      <c r="T43" s="221"/>
      <c r="U43" s="221"/>
      <c r="V43" s="221"/>
    </row>
    <row r="44" spans="1:22" ht="12.6" thickBot="1" x14ac:dyDescent="0.3">
      <c r="B44" s="179"/>
      <c r="C44" s="180"/>
      <c r="D44" s="148" t="s">
        <v>1122</v>
      </c>
      <c r="E44" s="177"/>
      <c r="F44" s="162">
        <f>IF($F$5="Wachtwoord correct",(HLOOKUP($F$3,Gemeentecijfers!$M$2:$NE$42,Gemeentecijfers!K36,FALSE)),"-")</f>
        <v>0.65</v>
      </c>
      <c r="G44" s="152"/>
      <c r="H44" s="166">
        <f>F44</f>
        <v>0.65</v>
      </c>
      <c r="I44" s="152"/>
      <c r="J44" s="166">
        <f>F44</f>
        <v>0.65</v>
      </c>
      <c r="K44" s="141"/>
      <c r="L44" s="239"/>
      <c r="M44" s="221"/>
      <c r="N44" s="221"/>
      <c r="O44" s="221"/>
      <c r="P44" s="221"/>
      <c r="Q44" s="221"/>
      <c r="R44" s="221"/>
      <c r="S44" s="221"/>
      <c r="T44" s="221"/>
      <c r="U44" s="221"/>
      <c r="V44" s="221"/>
    </row>
    <row r="45" spans="1:22" ht="12.6" thickBot="1" x14ac:dyDescent="0.3">
      <c r="B45" s="179"/>
      <c r="C45" s="180"/>
      <c r="D45" s="148" t="s">
        <v>1123</v>
      </c>
      <c r="E45" s="177"/>
      <c r="F45" s="162">
        <f>IF($F$5="Wachtwoord correct",(HLOOKUP($F$3,Gemeentecijfers!$M$2:$NE$42,Gemeentecijfers!K37,FALSE)),"-")</f>
        <v>0.6</v>
      </c>
      <c r="G45" s="152"/>
      <c r="H45" s="166">
        <f>F45</f>
        <v>0.6</v>
      </c>
      <c r="I45" s="152"/>
      <c r="J45" s="166">
        <f>F45</f>
        <v>0.6</v>
      </c>
      <c r="K45" s="141"/>
      <c r="L45" s="239"/>
      <c r="M45" s="221"/>
      <c r="N45" s="221"/>
      <c r="O45" s="221"/>
      <c r="P45" s="221"/>
      <c r="Q45" s="221"/>
      <c r="R45" s="221"/>
      <c r="S45" s="221"/>
      <c r="T45" s="221"/>
      <c r="U45" s="221"/>
      <c r="V45" s="221"/>
    </row>
    <row r="46" spans="1:22" ht="12.6" thickBot="1" x14ac:dyDescent="0.3">
      <c r="B46" s="182"/>
      <c r="C46" s="183"/>
      <c r="D46" s="183"/>
      <c r="E46" s="184"/>
      <c r="F46" s="183"/>
      <c r="G46" s="243"/>
      <c r="H46" s="243"/>
      <c r="I46" s="243"/>
      <c r="J46" s="243"/>
      <c r="K46" s="243"/>
      <c r="L46" s="244"/>
      <c r="M46" s="221"/>
      <c r="N46" s="221"/>
      <c r="O46" s="221"/>
      <c r="P46" s="221"/>
      <c r="Q46" s="221"/>
      <c r="R46" s="221"/>
      <c r="S46" s="221"/>
      <c r="T46" s="221"/>
      <c r="U46" s="221"/>
      <c r="V46" s="221"/>
    </row>
    <row r="47" spans="1:22" s="216" customFormat="1" x14ac:dyDescent="0.25">
      <c r="A47" s="221"/>
      <c r="B47" s="221"/>
      <c r="C47" s="221"/>
      <c r="D47" s="221"/>
      <c r="E47" s="221"/>
      <c r="F47" s="221"/>
      <c r="G47" s="221"/>
      <c r="H47" s="221"/>
      <c r="I47" s="221"/>
      <c r="J47" s="221"/>
      <c r="K47" s="221"/>
      <c r="L47" s="221"/>
      <c r="M47" s="221"/>
      <c r="N47" s="221"/>
      <c r="O47" s="221"/>
      <c r="P47" s="221"/>
      <c r="Q47" s="221"/>
      <c r="R47" s="221"/>
      <c r="S47" s="221"/>
      <c r="T47" s="221"/>
      <c r="U47" s="221"/>
      <c r="V47" s="221"/>
    </row>
    <row r="48" spans="1:22" s="216" customFormat="1" ht="17.399999999999999" thickBot="1" x14ac:dyDescent="0.45">
      <c r="A48" s="221"/>
      <c r="B48" s="221"/>
      <c r="C48" s="217" t="s">
        <v>1186</v>
      </c>
      <c r="D48" s="221"/>
      <c r="E48" s="221"/>
      <c r="F48" s="221"/>
      <c r="G48" s="221"/>
      <c r="H48" s="221"/>
      <c r="I48" s="221"/>
      <c r="J48" s="221"/>
      <c r="K48" s="221"/>
      <c r="L48" s="221"/>
      <c r="M48" s="221"/>
      <c r="N48" s="221"/>
      <c r="O48" s="221"/>
      <c r="P48" s="221"/>
    </row>
    <row r="49" spans="1:22" x14ac:dyDescent="0.25">
      <c r="A49" s="221"/>
      <c r="B49" s="245"/>
      <c r="C49" s="246"/>
      <c r="D49" s="246"/>
      <c r="E49" s="246"/>
      <c r="F49" s="246"/>
      <c r="G49" s="246"/>
      <c r="H49" s="246"/>
      <c r="I49" s="246"/>
      <c r="J49" s="246"/>
      <c r="K49" s="246"/>
      <c r="L49" s="246"/>
      <c r="M49" s="246"/>
      <c r="N49" s="246"/>
      <c r="O49" s="246"/>
      <c r="P49" s="246"/>
      <c r="Q49" s="246"/>
      <c r="R49" s="246"/>
      <c r="S49" s="246"/>
      <c r="T49" s="247"/>
      <c r="U49" s="216"/>
      <c r="V49" s="216"/>
    </row>
    <row r="50" spans="1:22" x14ac:dyDescent="0.25">
      <c r="A50" s="221"/>
      <c r="B50" s="248"/>
      <c r="C50" s="266" t="s">
        <v>1185</v>
      </c>
      <c r="D50" s="249"/>
      <c r="E50" s="249"/>
      <c r="F50" s="249"/>
      <c r="G50" s="249"/>
      <c r="H50" s="249"/>
      <c r="I50" s="249"/>
      <c r="J50" s="249"/>
      <c r="K50" s="249"/>
      <c r="L50" s="249"/>
      <c r="M50" s="249"/>
      <c r="N50" s="249"/>
      <c r="O50" s="249"/>
      <c r="P50" s="249"/>
      <c r="Q50" s="249"/>
      <c r="R50" s="249"/>
      <c r="S50" s="249"/>
      <c r="T50" s="250"/>
      <c r="U50" s="216"/>
      <c r="V50" s="216"/>
    </row>
    <row r="51" spans="1:22" x14ac:dyDescent="0.25">
      <c r="A51" s="221"/>
      <c r="B51" s="248"/>
      <c r="C51" s="249"/>
      <c r="D51" s="249"/>
      <c r="E51" s="249"/>
      <c r="F51" s="249"/>
      <c r="G51" s="249"/>
      <c r="H51" s="249"/>
      <c r="I51" s="249"/>
      <c r="J51" s="249"/>
      <c r="K51" s="249"/>
      <c r="L51" s="249"/>
      <c r="M51" s="249"/>
      <c r="N51" s="249"/>
      <c r="O51" s="249"/>
      <c r="P51" s="249"/>
      <c r="Q51" s="249"/>
      <c r="R51" s="249"/>
      <c r="S51" s="249"/>
      <c r="T51" s="250"/>
      <c r="U51" s="216"/>
      <c r="V51" s="216"/>
    </row>
    <row r="52" spans="1:22" x14ac:dyDescent="0.25">
      <c r="A52" s="221"/>
      <c r="B52" s="248"/>
      <c r="C52" s="249"/>
      <c r="D52" s="249"/>
      <c r="E52" s="249"/>
      <c r="F52" s="249"/>
      <c r="G52" s="249"/>
      <c r="H52" s="249"/>
      <c r="I52" s="249"/>
      <c r="J52" s="249"/>
      <c r="K52" s="249"/>
      <c r="L52" s="249"/>
      <c r="M52" s="249"/>
      <c r="N52" s="249"/>
      <c r="O52" s="249"/>
      <c r="P52" s="249"/>
      <c r="Q52" s="249"/>
      <c r="R52" s="249"/>
      <c r="S52" s="249"/>
      <c r="T52" s="250"/>
      <c r="U52" s="216"/>
      <c r="V52" s="216"/>
    </row>
    <row r="53" spans="1:22" x14ac:dyDescent="0.25">
      <c r="A53" s="221"/>
      <c r="B53" s="248"/>
      <c r="C53" s="249"/>
      <c r="D53" s="249"/>
      <c r="E53" s="249"/>
      <c r="F53" s="249"/>
      <c r="G53" s="249"/>
      <c r="H53" s="249"/>
      <c r="I53" s="249"/>
      <c r="J53" s="249"/>
      <c r="K53" s="249"/>
      <c r="L53" s="249"/>
      <c r="M53" s="249"/>
      <c r="N53" s="249"/>
      <c r="O53" s="249"/>
      <c r="P53" s="249"/>
      <c r="Q53" s="249"/>
      <c r="R53" s="249"/>
      <c r="S53" s="249"/>
      <c r="T53" s="250"/>
      <c r="U53" s="216"/>
      <c r="V53" s="216"/>
    </row>
    <row r="54" spans="1:22" x14ac:dyDescent="0.25">
      <c r="A54" s="221"/>
      <c r="B54" s="248"/>
      <c r="C54" s="249"/>
      <c r="D54" s="249"/>
      <c r="E54" s="249"/>
      <c r="F54" s="249"/>
      <c r="G54" s="249"/>
      <c r="H54" s="249"/>
      <c r="I54" s="249"/>
      <c r="J54" s="249"/>
      <c r="K54" s="249"/>
      <c r="L54" s="249"/>
      <c r="M54" s="249"/>
      <c r="N54" s="249"/>
      <c r="O54" s="249"/>
      <c r="P54" s="249"/>
      <c r="Q54" s="249"/>
      <c r="R54" s="249"/>
      <c r="S54" s="249"/>
      <c r="T54" s="250"/>
      <c r="U54" s="216"/>
      <c r="V54" s="216"/>
    </row>
    <row r="55" spans="1:22" x14ac:dyDescent="0.25">
      <c r="A55" s="221"/>
      <c r="B55" s="248"/>
      <c r="C55" s="249"/>
      <c r="D55" s="249"/>
      <c r="E55" s="249"/>
      <c r="F55" s="249"/>
      <c r="G55" s="249"/>
      <c r="H55" s="249"/>
      <c r="I55" s="249"/>
      <c r="J55" s="249"/>
      <c r="K55" s="249"/>
      <c r="L55" s="249"/>
      <c r="M55" s="249"/>
      <c r="N55" s="249"/>
      <c r="O55" s="249"/>
      <c r="P55" s="249"/>
      <c r="Q55" s="249"/>
      <c r="R55" s="249"/>
      <c r="S55" s="249"/>
      <c r="T55" s="250"/>
      <c r="U55" s="216"/>
      <c r="V55" s="216"/>
    </row>
    <row r="56" spans="1:22" x14ac:dyDescent="0.25">
      <c r="B56" s="248"/>
      <c r="C56" s="249"/>
      <c r="D56" s="249"/>
      <c r="E56" s="249"/>
      <c r="F56" s="249"/>
      <c r="G56" s="249"/>
      <c r="H56" s="249"/>
      <c r="I56" s="249"/>
      <c r="J56" s="249"/>
      <c r="K56" s="249"/>
      <c r="L56" s="249"/>
      <c r="M56" s="249"/>
      <c r="N56" s="249"/>
      <c r="O56" s="249"/>
      <c r="P56" s="249"/>
      <c r="Q56" s="249"/>
      <c r="R56" s="249"/>
      <c r="S56" s="249"/>
      <c r="T56" s="250"/>
      <c r="U56" s="216"/>
      <c r="V56" s="216"/>
    </row>
    <row r="57" spans="1:22" x14ac:dyDescent="0.25">
      <c r="B57" s="248"/>
      <c r="C57" s="249"/>
      <c r="D57" s="249"/>
      <c r="E57" s="249"/>
      <c r="F57" s="249"/>
      <c r="G57" s="249"/>
      <c r="H57" s="249"/>
      <c r="I57" s="249"/>
      <c r="J57" s="249"/>
      <c r="K57" s="249"/>
      <c r="L57" s="249"/>
      <c r="M57" s="249"/>
      <c r="N57" s="249"/>
      <c r="O57" s="249"/>
      <c r="P57" s="249"/>
      <c r="Q57" s="249"/>
      <c r="R57" s="249"/>
      <c r="S57" s="249"/>
      <c r="T57" s="250"/>
      <c r="U57" s="216"/>
      <c r="V57" s="216"/>
    </row>
    <row r="58" spans="1:22" x14ac:dyDescent="0.25">
      <c r="B58" s="248"/>
      <c r="C58" s="249"/>
      <c r="D58" s="249"/>
      <c r="E58" s="249"/>
      <c r="F58" s="249"/>
      <c r="G58" s="249"/>
      <c r="H58" s="249"/>
      <c r="I58" s="249"/>
      <c r="J58" s="249"/>
      <c r="K58" s="249"/>
      <c r="L58" s="249"/>
      <c r="M58" s="249"/>
      <c r="N58" s="249"/>
      <c r="O58" s="249"/>
      <c r="P58" s="249"/>
      <c r="Q58" s="249"/>
      <c r="R58" s="249"/>
      <c r="S58" s="249"/>
      <c r="T58" s="250"/>
      <c r="U58" s="216"/>
      <c r="V58" s="216"/>
    </row>
    <row r="59" spans="1:22" x14ac:dyDescent="0.25">
      <c r="B59" s="248"/>
      <c r="C59" s="249"/>
      <c r="D59" s="249"/>
      <c r="E59" s="249"/>
      <c r="F59" s="249"/>
      <c r="G59" s="249"/>
      <c r="H59" s="249"/>
      <c r="I59" s="249"/>
      <c r="J59" s="249"/>
      <c r="K59" s="249"/>
      <c r="L59" s="249"/>
      <c r="M59" s="249"/>
      <c r="N59" s="249"/>
      <c r="O59" s="249"/>
      <c r="P59" s="249"/>
      <c r="Q59" s="249"/>
      <c r="R59" s="249"/>
      <c r="S59" s="249"/>
      <c r="T59" s="250"/>
      <c r="U59" s="216"/>
      <c r="V59" s="216"/>
    </row>
    <row r="60" spans="1:22" x14ac:dyDescent="0.25">
      <c r="B60" s="248"/>
      <c r="C60" s="249"/>
      <c r="D60" s="249"/>
      <c r="E60" s="249"/>
      <c r="F60" s="249"/>
      <c r="G60" s="249"/>
      <c r="H60" s="249"/>
      <c r="I60" s="249"/>
      <c r="J60" s="249"/>
      <c r="K60" s="249"/>
      <c r="L60" s="249"/>
      <c r="M60" s="249"/>
      <c r="N60" s="249"/>
      <c r="O60" s="249"/>
      <c r="P60" s="249"/>
      <c r="Q60" s="249"/>
      <c r="R60" s="249"/>
      <c r="S60" s="249"/>
      <c r="T60" s="250"/>
      <c r="U60" s="216"/>
      <c r="V60" s="216"/>
    </row>
    <row r="61" spans="1:22" x14ac:dyDescent="0.25">
      <c r="B61" s="248"/>
      <c r="C61" s="249"/>
      <c r="D61" s="249"/>
      <c r="E61" s="249"/>
      <c r="F61" s="249"/>
      <c r="G61" s="249"/>
      <c r="H61" s="249"/>
      <c r="I61" s="249"/>
      <c r="J61" s="249"/>
      <c r="K61" s="249"/>
      <c r="L61" s="249"/>
      <c r="M61" s="249"/>
      <c r="N61" s="249"/>
      <c r="O61" s="249"/>
      <c r="P61" s="249"/>
      <c r="Q61" s="249"/>
      <c r="R61" s="249"/>
      <c r="S61" s="249"/>
      <c r="T61" s="250"/>
      <c r="U61" s="216"/>
      <c r="V61" s="216"/>
    </row>
    <row r="62" spans="1:22" x14ac:dyDescent="0.25">
      <c r="B62" s="248"/>
      <c r="C62" s="249"/>
      <c r="D62" s="249"/>
      <c r="E62" s="249"/>
      <c r="F62" s="249"/>
      <c r="G62" s="249"/>
      <c r="H62" s="249"/>
      <c r="I62" s="249"/>
      <c r="J62" s="249"/>
      <c r="K62" s="249"/>
      <c r="L62" s="249"/>
      <c r="M62" s="249"/>
      <c r="N62" s="249"/>
      <c r="O62" s="249"/>
      <c r="P62" s="249"/>
      <c r="Q62" s="249"/>
      <c r="R62" s="249"/>
      <c r="S62" s="249"/>
      <c r="T62" s="250"/>
      <c r="U62" s="216"/>
      <c r="V62" s="216"/>
    </row>
    <row r="63" spans="1:22" x14ac:dyDescent="0.25">
      <c r="B63" s="248"/>
      <c r="C63" s="249"/>
      <c r="D63" s="249"/>
      <c r="E63" s="249"/>
      <c r="F63" s="249"/>
      <c r="G63" s="249"/>
      <c r="H63" s="249"/>
      <c r="I63" s="249"/>
      <c r="J63" s="249"/>
      <c r="K63" s="249"/>
      <c r="L63" s="249"/>
      <c r="M63" s="249"/>
      <c r="N63" s="249"/>
      <c r="O63" s="249"/>
      <c r="P63" s="249"/>
      <c r="Q63" s="249"/>
      <c r="R63" s="249"/>
      <c r="S63" s="249"/>
      <c r="T63" s="250"/>
      <c r="U63" s="216"/>
      <c r="V63" s="216"/>
    </row>
    <row r="64" spans="1:22" x14ac:dyDescent="0.25">
      <c r="B64" s="248"/>
      <c r="C64" s="249"/>
      <c r="D64" s="249"/>
      <c r="E64" s="249"/>
      <c r="F64" s="249"/>
      <c r="G64" s="249"/>
      <c r="H64" s="249"/>
      <c r="I64" s="249"/>
      <c r="J64" s="249"/>
      <c r="K64" s="249"/>
      <c r="L64" s="249"/>
      <c r="M64" s="249"/>
      <c r="N64" s="249"/>
      <c r="O64" s="249"/>
      <c r="P64" s="249"/>
      <c r="Q64" s="249"/>
      <c r="R64" s="249"/>
      <c r="S64" s="249"/>
      <c r="T64" s="250"/>
      <c r="U64" s="216"/>
      <c r="V64" s="216"/>
    </row>
    <row r="65" spans="2:22" x14ac:dyDescent="0.25">
      <c r="B65" s="248"/>
      <c r="C65" s="249"/>
      <c r="D65" s="249"/>
      <c r="E65" s="249"/>
      <c r="F65" s="249"/>
      <c r="G65" s="249"/>
      <c r="H65" s="249"/>
      <c r="I65" s="249"/>
      <c r="J65" s="249"/>
      <c r="K65" s="249"/>
      <c r="L65" s="249"/>
      <c r="M65" s="249"/>
      <c r="N65" s="249"/>
      <c r="O65" s="249"/>
      <c r="P65" s="249"/>
      <c r="Q65" s="249"/>
      <c r="R65" s="249"/>
      <c r="S65" s="249"/>
      <c r="T65" s="250"/>
      <c r="U65" s="216"/>
      <c r="V65" s="216"/>
    </row>
    <row r="66" spans="2:22" x14ac:dyDescent="0.25">
      <c r="B66" s="248"/>
      <c r="C66" s="249"/>
      <c r="D66" s="249"/>
      <c r="E66" s="249"/>
      <c r="F66" s="249"/>
      <c r="G66" s="249"/>
      <c r="H66" s="249"/>
      <c r="I66" s="249"/>
      <c r="J66" s="249"/>
      <c r="K66" s="249"/>
      <c r="L66" s="249"/>
      <c r="M66" s="249"/>
      <c r="N66" s="249"/>
      <c r="O66" s="249"/>
      <c r="P66" s="249"/>
      <c r="Q66" s="249"/>
      <c r="R66" s="249"/>
      <c r="S66" s="249"/>
      <c r="T66" s="250"/>
      <c r="U66" s="216"/>
      <c r="V66" s="216"/>
    </row>
    <row r="67" spans="2:22" ht="12.6" thickBot="1" x14ac:dyDescent="0.3">
      <c r="B67" s="185" t="s">
        <v>1568</v>
      </c>
      <c r="C67" s="251"/>
      <c r="D67" s="251"/>
      <c r="E67" s="251"/>
      <c r="F67" s="251"/>
      <c r="G67" s="251"/>
      <c r="H67" s="251"/>
      <c r="I67" s="251"/>
      <c r="J67" s="251"/>
      <c r="K67" s="251"/>
      <c r="L67" s="251"/>
      <c r="M67" s="251"/>
      <c r="N67" s="251"/>
      <c r="O67" s="251"/>
      <c r="P67" s="251"/>
      <c r="Q67" s="251"/>
      <c r="R67" s="251"/>
      <c r="S67" s="251"/>
      <c r="T67" s="252"/>
      <c r="U67" s="216"/>
      <c r="V67" s="216"/>
    </row>
    <row r="68" spans="2:22" s="216" customFormat="1" x14ac:dyDescent="0.25">
      <c r="B68" s="245"/>
      <c r="C68" s="246"/>
      <c r="D68" s="246"/>
      <c r="E68" s="246"/>
      <c r="F68" s="246"/>
      <c r="G68" s="246"/>
      <c r="H68" s="246"/>
      <c r="I68" s="246"/>
      <c r="J68" s="246"/>
      <c r="K68" s="246"/>
      <c r="L68" s="246"/>
      <c r="M68" s="246"/>
      <c r="N68" s="246"/>
      <c r="O68" s="246"/>
      <c r="P68" s="246"/>
      <c r="Q68" s="246"/>
      <c r="R68" s="246"/>
      <c r="S68" s="246"/>
      <c r="T68" s="247"/>
    </row>
    <row r="69" spans="2:22" s="216" customFormat="1" x14ac:dyDescent="0.25">
      <c r="B69" s="248"/>
      <c r="C69" s="249"/>
      <c r="D69" s="266" t="s">
        <v>1630</v>
      </c>
      <c r="E69" s="249"/>
      <c r="F69" s="267"/>
      <c r="G69" s="267"/>
      <c r="H69" s="267"/>
      <c r="I69" s="267"/>
      <c r="J69" s="267"/>
      <c r="K69" s="267"/>
      <c r="L69" s="267"/>
      <c r="M69" s="267"/>
      <c r="N69" s="249"/>
      <c r="O69" s="249"/>
      <c r="P69" s="249"/>
      <c r="Q69" s="249"/>
      <c r="R69" s="249"/>
      <c r="S69" s="249"/>
      <c r="T69" s="250"/>
    </row>
    <row r="70" spans="2:22" s="216" customFormat="1" x14ac:dyDescent="0.25">
      <c r="B70" s="248"/>
      <c r="C70" s="249"/>
      <c r="D70" s="249"/>
      <c r="E70" s="267"/>
      <c r="F70" s="268"/>
      <c r="G70" s="268"/>
      <c r="H70" s="268"/>
      <c r="I70" s="268"/>
      <c r="J70" s="267"/>
      <c r="K70" s="267"/>
      <c r="L70" s="267"/>
      <c r="M70" s="267"/>
      <c r="N70" s="249"/>
      <c r="O70" s="249"/>
      <c r="P70" s="249"/>
      <c r="Q70" s="249"/>
      <c r="R70" s="249"/>
      <c r="S70" s="249"/>
      <c r="T70" s="250"/>
    </row>
    <row r="71" spans="2:22" s="216" customFormat="1" x14ac:dyDescent="0.25">
      <c r="B71" s="248"/>
      <c r="C71" s="249"/>
      <c r="D71" s="249"/>
      <c r="E71" s="267"/>
      <c r="F71" s="268"/>
      <c r="G71" s="268"/>
      <c r="H71" s="268"/>
      <c r="I71" s="268"/>
      <c r="J71" s="267"/>
      <c r="K71" s="267"/>
      <c r="L71" s="267"/>
      <c r="M71" s="267"/>
      <c r="N71" s="249"/>
      <c r="O71" s="249"/>
      <c r="P71" s="249"/>
      <c r="Q71" s="249"/>
      <c r="R71" s="249"/>
      <c r="S71" s="249"/>
      <c r="T71" s="250"/>
    </row>
    <row r="72" spans="2:22" s="216" customFormat="1" x14ac:dyDescent="0.25">
      <c r="B72" s="248"/>
      <c r="C72" s="249"/>
      <c r="D72" s="249"/>
      <c r="E72" s="267"/>
      <c r="F72" s="268"/>
      <c r="G72" s="268"/>
      <c r="H72" s="268"/>
      <c r="I72" s="268"/>
      <c r="J72" s="267"/>
      <c r="K72" s="267"/>
      <c r="L72" s="267"/>
      <c r="M72" s="267"/>
      <c r="N72" s="249"/>
      <c r="O72" s="249"/>
      <c r="P72" s="249"/>
      <c r="Q72" s="249"/>
      <c r="R72" s="249"/>
      <c r="S72" s="249"/>
      <c r="T72" s="250"/>
    </row>
    <row r="73" spans="2:22" s="216" customFormat="1" x14ac:dyDescent="0.25">
      <c r="B73" s="248"/>
      <c r="C73" s="249"/>
      <c r="D73" s="249"/>
      <c r="E73" s="267"/>
      <c r="F73" s="268"/>
      <c r="G73" s="268"/>
      <c r="H73" s="268"/>
      <c r="I73" s="268"/>
      <c r="J73" s="267"/>
      <c r="K73" s="267"/>
      <c r="L73" s="267"/>
      <c r="M73" s="267"/>
      <c r="N73" s="249"/>
      <c r="O73" s="249"/>
      <c r="P73" s="249"/>
      <c r="Q73" s="249"/>
      <c r="R73" s="249"/>
      <c r="S73" s="249"/>
      <c r="T73" s="250"/>
    </row>
    <row r="74" spans="2:22" s="216" customFormat="1" x14ac:dyDescent="0.25">
      <c r="B74" s="248"/>
      <c r="C74" s="249"/>
      <c r="D74" s="249"/>
      <c r="E74" s="267"/>
      <c r="F74" s="268"/>
      <c r="G74" s="268"/>
      <c r="H74" s="268"/>
      <c r="I74" s="268"/>
      <c r="J74" s="267"/>
      <c r="K74" s="267"/>
      <c r="L74" s="267"/>
      <c r="M74" s="267"/>
      <c r="N74" s="249"/>
      <c r="O74" s="249"/>
      <c r="P74" s="249"/>
      <c r="Q74" s="249"/>
      <c r="R74" s="249"/>
      <c r="S74" s="249"/>
      <c r="T74" s="250"/>
    </row>
    <row r="75" spans="2:22" s="216" customFormat="1" x14ac:dyDescent="0.25">
      <c r="B75" s="248"/>
      <c r="C75" s="249"/>
      <c r="D75" s="249"/>
      <c r="E75" s="267"/>
      <c r="F75" s="267"/>
      <c r="G75" s="267"/>
      <c r="H75" s="267"/>
      <c r="I75" s="267"/>
      <c r="J75" s="267"/>
      <c r="K75" s="267"/>
      <c r="L75" s="267"/>
      <c r="M75" s="267"/>
      <c r="N75" s="249"/>
      <c r="O75" s="249"/>
      <c r="P75" s="249"/>
      <c r="Q75" s="249"/>
      <c r="R75" s="249"/>
      <c r="S75" s="249"/>
      <c r="T75" s="250"/>
    </row>
    <row r="76" spans="2:22" s="216" customFormat="1" x14ac:dyDescent="0.25">
      <c r="B76" s="248"/>
      <c r="C76" s="249"/>
      <c r="D76" s="249"/>
      <c r="E76" s="267"/>
      <c r="F76" s="267"/>
      <c r="G76" s="267"/>
      <c r="H76" s="267"/>
      <c r="I76" s="267"/>
      <c r="J76" s="267"/>
      <c r="K76" s="267"/>
      <c r="L76" s="267"/>
      <c r="M76" s="267"/>
      <c r="N76" s="249"/>
      <c r="O76" s="249"/>
      <c r="P76" s="249"/>
      <c r="Q76" s="249"/>
      <c r="R76" s="249"/>
      <c r="S76" s="249"/>
      <c r="T76" s="250"/>
    </row>
    <row r="77" spans="2:22" s="216" customFormat="1" x14ac:dyDescent="0.25">
      <c r="B77" s="248"/>
      <c r="C77" s="249"/>
      <c r="D77" s="249"/>
      <c r="E77" s="267"/>
      <c r="F77" s="267"/>
      <c r="G77" s="267"/>
      <c r="H77" s="267"/>
      <c r="I77" s="267"/>
      <c r="J77" s="267"/>
      <c r="K77" s="267"/>
      <c r="L77" s="267"/>
      <c r="M77" s="267"/>
      <c r="N77" s="249"/>
      <c r="O77" s="249"/>
      <c r="P77" s="249"/>
      <c r="Q77" s="249"/>
      <c r="R77" s="249"/>
      <c r="S77" s="249"/>
      <c r="T77" s="250"/>
    </row>
    <row r="78" spans="2:22" s="216" customFormat="1" x14ac:dyDescent="0.25">
      <c r="B78" s="248"/>
      <c r="C78" s="249"/>
      <c r="D78" s="249"/>
      <c r="E78" s="269"/>
      <c r="F78" s="267"/>
      <c r="G78" s="267"/>
      <c r="H78" s="267"/>
      <c r="I78" s="267"/>
      <c r="J78" s="267"/>
      <c r="K78" s="267"/>
      <c r="L78" s="267"/>
      <c r="M78" s="267"/>
      <c r="N78" s="249"/>
      <c r="O78" s="249"/>
      <c r="P78" s="249"/>
      <c r="Q78" s="249"/>
      <c r="R78" s="249"/>
      <c r="S78" s="249"/>
      <c r="T78" s="250"/>
    </row>
    <row r="79" spans="2:22" s="216" customFormat="1" x14ac:dyDescent="0.25">
      <c r="B79" s="248"/>
      <c r="C79" s="249"/>
      <c r="D79" s="249"/>
      <c r="E79" s="269"/>
      <c r="F79" s="267"/>
      <c r="G79" s="267"/>
      <c r="H79" s="267"/>
      <c r="I79" s="267"/>
      <c r="J79" s="267"/>
      <c r="K79" s="267"/>
      <c r="L79" s="267"/>
      <c r="M79" s="267"/>
      <c r="N79" s="249"/>
      <c r="O79" s="249"/>
      <c r="P79" s="249"/>
      <c r="Q79" s="249"/>
      <c r="R79" s="249"/>
      <c r="S79" s="249"/>
      <c r="T79" s="250"/>
    </row>
    <row r="80" spans="2:22" s="216" customFormat="1" x14ac:dyDescent="0.25">
      <c r="B80" s="248"/>
      <c r="C80" s="249"/>
      <c r="D80" s="249"/>
      <c r="E80" s="270"/>
      <c r="F80" s="249"/>
      <c r="G80" s="249"/>
      <c r="H80" s="249"/>
      <c r="I80" s="249"/>
      <c r="J80" s="249"/>
      <c r="K80" s="249"/>
      <c r="L80" s="249"/>
      <c r="M80" s="249"/>
      <c r="N80" s="249"/>
      <c r="O80" s="249"/>
      <c r="P80" s="249"/>
      <c r="Q80" s="249"/>
      <c r="R80" s="249"/>
      <c r="S80" s="249"/>
      <c r="T80" s="250"/>
    </row>
    <row r="81" spans="2:20" s="216" customFormat="1" x14ac:dyDescent="0.25">
      <c r="B81" s="248"/>
      <c r="C81" s="249"/>
      <c r="D81" s="249"/>
      <c r="E81" s="270"/>
      <c r="F81" s="249"/>
      <c r="G81" s="249"/>
      <c r="H81" s="249"/>
      <c r="I81" s="249"/>
      <c r="J81" s="249"/>
      <c r="K81" s="249"/>
      <c r="L81" s="249"/>
      <c r="M81" s="249"/>
      <c r="N81" s="249"/>
      <c r="O81" s="249"/>
      <c r="P81" s="249"/>
      <c r="Q81" s="249"/>
      <c r="R81" s="249"/>
      <c r="S81" s="249"/>
      <c r="T81" s="250"/>
    </row>
    <row r="82" spans="2:20" s="216" customFormat="1" x14ac:dyDescent="0.25">
      <c r="B82" s="248"/>
      <c r="C82" s="249"/>
      <c r="D82" s="249"/>
      <c r="E82" s="270"/>
      <c r="F82" s="249"/>
      <c r="G82" s="249"/>
      <c r="H82" s="249"/>
      <c r="I82" s="249"/>
      <c r="J82" s="249"/>
      <c r="K82" s="249"/>
      <c r="L82" s="249"/>
      <c r="M82" s="249"/>
      <c r="N82" s="249"/>
      <c r="O82" s="249"/>
      <c r="P82" s="249"/>
      <c r="Q82" s="249"/>
      <c r="R82" s="249"/>
      <c r="S82" s="249"/>
      <c r="T82" s="250"/>
    </row>
    <row r="83" spans="2:20" s="216" customFormat="1" x14ac:dyDescent="0.25">
      <c r="B83" s="248"/>
      <c r="C83" s="249"/>
      <c r="D83" s="249"/>
      <c r="E83" s="270"/>
      <c r="F83" s="249"/>
      <c r="G83" s="249"/>
      <c r="H83" s="249"/>
      <c r="I83" s="249"/>
      <c r="J83" s="249"/>
      <c r="K83" s="249"/>
      <c r="L83" s="249"/>
      <c r="M83" s="249"/>
      <c r="N83" s="249"/>
      <c r="O83" s="249"/>
      <c r="P83" s="249"/>
      <c r="Q83" s="249"/>
      <c r="R83" s="249"/>
      <c r="S83" s="249"/>
      <c r="T83" s="250"/>
    </row>
    <row r="84" spans="2:20" s="216" customFormat="1" x14ac:dyDescent="0.25">
      <c r="B84" s="248"/>
      <c r="C84" s="249"/>
      <c r="D84" s="249"/>
      <c r="E84" s="270"/>
      <c r="F84" s="249"/>
      <c r="G84" s="249"/>
      <c r="H84" s="249"/>
      <c r="I84" s="249"/>
      <c r="J84" s="249"/>
      <c r="K84" s="249"/>
      <c r="L84" s="249"/>
      <c r="M84" s="249"/>
      <c r="N84" s="249"/>
      <c r="O84" s="249"/>
      <c r="P84" s="249"/>
      <c r="Q84" s="249"/>
      <c r="R84" s="249"/>
      <c r="S84" s="249"/>
      <c r="T84" s="250"/>
    </row>
    <row r="85" spans="2:20" s="216" customFormat="1" x14ac:dyDescent="0.25">
      <c r="B85" s="248"/>
      <c r="C85" s="249"/>
      <c r="D85" s="249"/>
      <c r="E85" s="270"/>
      <c r="F85" s="249"/>
      <c r="G85" s="249"/>
      <c r="H85" s="249"/>
      <c r="I85" s="249"/>
      <c r="J85" s="249"/>
      <c r="K85" s="249"/>
      <c r="L85" s="249"/>
      <c r="M85" s="249"/>
      <c r="N85" s="249"/>
      <c r="O85" s="249"/>
      <c r="P85" s="249"/>
      <c r="Q85" s="249"/>
      <c r="R85" s="249"/>
      <c r="S85" s="249"/>
      <c r="T85" s="250"/>
    </row>
    <row r="86" spans="2:20" s="216" customFormat="1" x14ac:dyDescent="0.25">
      <c r="B86" s="248"/>
      <c r="C86" s="249"/>
      <c r="D86" s="249"/>
      <c r="E86" s="270"/>
      <c r="F86" s="249"/>
      <c r="G86" s="249"/>
      <c r="H86" s="249"/>
      <c r="I86" s="249"/>
      <c r="J86" s="249"/>
      <c r="K86" s="249"/>
      <c r="L86" s="249"/>
      <c r="M86" s="249"/>
      <c r="N86" s="249"/>
      <c r="O86" s="249"/>
      <c r="P86" s="249"/>
      <c r="Q86" s="249"/>
      <c r="R86" s="249"/>
      <c r="S86" s="249"/>
      <c r="T86" s="250"/>
    </row>
    <row r="87" spans="2:20" s="216" customFormat="1" x14ac:dyDescent="0.25">
      <c r="B87" s="248"/>
      <c r="C87" s="249"/>
      <c r="D87" s="249"/>
      <c r="E87" s="270"/>
      <c r="F87" s="249"/>
      <c r="G87" s="249"/>
      <c r="H87" s="249"/>
      <c r="I87" s="249"/>
      <c r="J87" s="249"/>
      <c r="K87" s="249"/>
      <c r="L87" s="249"/>
      <c r="M87" s="249"/>
      <c r="N87" s="249"/>
      <c r="O87" s="249"/>
      <c r="P87" s="249"/>
      <c r="Q87" s="249"/>
      <c r="R87" s="249"/>
      <c r="S87" s="249"/>
      <c r="T87" s="250"/>
    </row>
    <row r="88" spans="2:20" s="216" customFormat="1" x14ac:dyDescent="0.25">
      <c r="B88" s="248"/>
      <c r="C88" s="249"/>
      <c r="D88" s="249"/>
      <c r="E88" s="270"/>
      <c r="F88" s="249"/>
      <c r="G88" s="249"/>
      <c r="H88" s="249"/>
      <c r="I88" s="249"/>
      <c r="J88" s="249"/>
      <c r="K88" s="249"/>
      <c r="L88" s="249"/>
      <c r="M88" s="249"/>
      <c r="N88" s="249"/>
      <c r="O88" s="249"/>
      <c r="P88" s="249"/>
      <c r="Q88" s="249"/>
      <c r="R88" s="249"/>
      <c r="S88" s="249"/>
      <c r="T88" s="250"/>
    </row>
    <row r="89" spans="2:20" s="216" customFormat="1" x14ac:dyDescent="0.25">
      <c r="B89" s="248"/>
      <c r="C89" s="249"/>
      <c r="D89" s="249"/>
      <c r="E89" s="270"/>
      <c r="F89" s="249"/>
      <c r="G89" s="249"/>
      <c r="H89" s="249"/>
      <c r="I89" s="249"/>
      <c r="J89" s="249"/>
      <c r="K89" s="249"/>
      <c r="L89" s="249"/>
      <c r="M89" s="249"/>
      <c r="N89" s="249"/>
      <c r="O89" s="249"/>
      <c r="P89" s="249"/>
      <c r="Q89" s="249"/>
      <c r="R89" s="249"/>
      <c r="S89" s="249"/>
      <c r="T89" s="250"/>
    </row>
    <row r="90" spans="2:20" s="216" customFormat="1" x14ac:dyDescent="0.25">
      <c r="B90" s="248"/>
      <c r="C90" s="249"/>
      <c r="D90" s="249"/>
      <c r="E90" s="270"/>
      <c r="F90" s="249"/>
      <c r="G90" s="249"/>
      <c r="H90" s="249"/>
      <c r="I90" s="249"/>
      <c r="J90" s="249"/>
      <c r="K90" s="249"/>
      <c r="L90" s="249"/>
      <c r="M90" s="249"/>
      <c r="N90" s="249"/>
      <c r="O90" s="249"/>
      <c r="P90" s="249"/>
      <c r="Q90" s="249"/>
      <c r="R90" s="249"/>
      <c r="S90" s="249"/>
      <c r="T90" s="250"/>
    </row>
    <row r="91" spans="2:20" s="216" customFormat="1" x14ac:dyDescent="0.25">
      <c r="B91" s="248"/>
      <c r="C91" s="249"/>
      <c r="D91" s="249"/>
      <c r="E91" s="270"/>
      <c r="F91" s="249"/>
      <c r="G91" s="249"/>
      <c r="H91" s="249"/>
      <c r="I91" s="249"/>
      <c r="J91" s="249"/>
      <c r="K91" s="249"/>
      <c r="L91" s="249"/>
      <c r="M91" s="249"/>
      <c r="N91" s="249"/>
      <c r="O91" s="249"/>
      <c r="P91" s="249"/>
      <c r="Q91" s="249"/>
      <c r="R91" s="249"/>
      <c r="S91" s="249"/>
      <c r="T91" s="250"/>
    </row>
    <row r="92" spans="2:20" s="216" customFormat="1" x14ac:dyDescent="0.25">
      <c r="B92" s="248"/>
      <c r="C92" s="249"/>
      <c r="D92" s="249"/>
      <c r="E92" s="270"/>
      <c r="F92" s="249"/>
      <c r="G92" s="249"/>
      <c r="H92" s="249"/>
      <c r="I92" s="249"/>
      <c r="J92" s="249"/>
      <c r="K92" s="249"/>
      <c r="L92" s="249"/>
      <c r="M92" s="249"/>
      <c r="N92" s="249"/>
      <c r="O92" s="249"/>
      <c r="P92" s="249"/>
      <c r="Q92" s="249"/>
      <c r="R92" s="249"/>
      <c r="S92" s="249"/>
      <c r="T92" s="250"/>
    </row>
    <row r="93" spans="2:20" s="216" customFormat="1" x14ac:dyDescent="0.25">
      <c r="B93" s="248"/>
      <c r="C93" s="249"/>
      <c r="D93" s="249"/>
      <c r="E93" s="270"/>
      <c r="F93" s="249"/>
      <c r="G93" s="249"/>
      <c r="H93" s="249"/>
      <c r="I93" s="249"/>
      <c r="J93" s="249"/>
      <c r="K93" s="249"/>
      <c r="L93" s="249"/>
      <c r="M93" s="249"/>
      <c r="N93" s="249"/>
      <c r="O93" s="249"/>
      <c r="P93" s="249"/>
      <c r="Q93" s="249"/>
      <c r="R93" s="249"/>
      <c r="S93" s="249"/>
      <c r="T93" s="250"/>
    </row>
    <row r="94" spans="2:20" s="216" customFormat="1" x14ac:dyDescent="0.25">
      <c r="B94" s="248"/>
      <c r="C94" s="249"/>
      <c r="D94" s="249"/>
      <c r="E94" s="270"/>
      <c r="F94" s="249"/>
      <c r="G94" s="249"/>
      <c r="H94" s="249"/>
      <c r="I94" s="249"/>
      <c r="J94" s="249"/>
      <c r="K94" s="249"/>
      <c r="L94" s="249"/>
      <c r="M94" s="249"/>
      <c r="N94" s="249"/>
      <c r="O94" s="249"/>
      <c r="P94" s="249"/>
      <c r="Q94" s="249"/>
      <c r="R94" s="249"/>
      <c r="S94" s="249"/>
      <c r="T94" s="250"/>
    </row>
    <row r="95" spans="2:20" s="216" customFormat="1" x14ac:dyDescent="0.25">
      <c r="B95" s="248"/>
      <c r="C95" s="249"/>
      <c r="D95" s="249"/>
      <c r="E95" s="270"/>
      <c r="F95" s="249"/>
      <c r="G95" s="249"/>
      <c r="H95" s="249"/>
      <c r="I95" s="249"/>
      <c r="J95" s="249"/>
      <c r="K95" s="249"/>
      <c r="L95" s="249"/>
      <c r="M95" s="249"/>
      <c r="N95" s="249"/>
      <c r="O95" s="249"/>
      <c r="P95" s="249"/>
      <c r="Q95" s="249"/>
      <c r="R95" s="249"/>
      <c r="S95" s="249"/>
      <c r="T95" s="250"/>
    </row>
    <row r="96" spans="2:20" s="216" customFormat="1" x14ac:dyDescent="0.25">
      <c r="B96" s="248"/>
      <c r="C96" s="249"/>
      <c r="D96" s="249"/>
      <c r="E96" s="270"/>
      <c r="F96" s="249"/>
      <c r="G96" s="249"/>
      <c r="H96" s="249"/>
      <c r="I96" s="249"/>
      <c r="J96" s="249"/>
      <c r="K96" s="249"/>
      <c r="L96" s="249"/>
      <c r="M96" s="249"/>
      <c r="N96" s="249"/>
      <c r="O96" s="249"/>
      <c r="P96" s="249"/>
      <c r="Q96" s="249"/>
      <c r="R96" s="249"/>
      <c r="S96" s="249"/>
      <c r="T96" s="250"/>
    </row>
    <row r="97" spans="2:20" s="216" customFormat="1" x14ac:dyDescent="0.25">
      <c r="B97" s="248"/>
      <c r="C97" s="249"/>
      <c r="D97" s="249"/>
      <c r="E97" s="270"/>
      <c r="F97" s="249"/>
      <c r="G97" s="249"/>
      <c r="H97" s="249"/>
      <c r="I97" s="249"/>
      <c r="J97" s="249"/>
      <c r="K97" s="249"/>
      <c r="L97" s="249"/>
      <c r="M97" s="249"/>
      <c r="N97" s="249"/>
      <c r="O97" s="249"/>
      <c r="P97" s="249"/>
      <c r="Q97" s="249"/>
      <c r="R97" s="249"/>
      <c r="S97" s="249"/>
      <c r="T97" s="250"/>
    </row>
    <row r="98" spans="2:20" s="216" customFormat="1" x14ac:dyDescent="0.25">
      <c r="B98" s="248"/>
      <c r="C98" s="249"/>
      <c r="D98" s="249"/>
      <c r="E98" s="270"/>
      <c r="F98" s="249"/>
      <c r="G98" s="249"/>
      <c r="H98" s="249"/>
      <c r="I98" s="249"/>
      <c r="J98" s="249"/>
      <c r="K98" s="249"/>
      <c r="L98" s="249"/>
      <c r="M98" s="249"/>
      <c r="N98" s="249"/>
      <c r="O98" s="249"/>
      <c r="P98" s="249"/>
      <c r="Q98" s="249"/>
      <c r="R98" s="249"/>
      <c r="S98" s="249"/>
      <c r="T98" s="250"/>
    </row>
    <row r="99" spans="2:20" s="216" customFormat="1" x14ac:dyDescent="0.25">
      <c r="B99" s="248"/>
      <c r="C99" s="249"/>
      <c r="D99" s="249"/>
      <c r="E99" s="270"/>
      <c r="F99" s="249"/>
      <c r="G99" s="249"/>
      <c r="H99" s="249"/>
      <c r="I99" s="249"/>
      <c r="J99" s="249"/>
      <c r="K99" s="249"/>
      <c r="L99" s="249"/>
      <c r="M99" s="249"/>
      <c r="N99" s="249"/>
      <c r="O99" s="249"/>
      <c r="P99" s="249"/>
      <c r="Q99" s="249"/>
      <c r="R99" s="249"/>
      <c r="S99" s="249"/>
      <c r="T99" s="250"/>
    </row>
    <row r="100" spans="2:20" s="216" customFormat="1" x14ac:dyDescent="0.25">
      <c r="B100" s="248"/>
      <c r="C100" s="249"/>
      <c r="D100" s="249"/>
      <c r="E100" s="270"/>
      <c r="F100" s="249"/>
      <c r="G100" s="249"/>
      <c r="H100" s="249"/>
      <c r="I100" s="249"/>
      <c r="J100" s="249"/>
      <c r="K100" s="249"/>
      <c r="L100" s="249"/>
      <c r="M100" s="249"/>
      <c r="N100" s="249"/>
      <c r="O100" s="249"/>
      <c r="P100" s="249"/>
      <c r="Q100" s="249"/>
      <c r="R100" s="249"/>
      <c r="S100" s="249"/>
      <c r="T100" s="250"/>
    </row>
    <row r="101" spans="2:20" s="216" customFormat="1" ht="12.6" thickBot="1" x14ac:dyDescent="0.3">
      <c r="B101" s="271"/>
      <c r="C101" s="251"/>
      <c r="D101" s="251"/>
      <c r="E101" s="272"/>
      <c r="F101" s="251"/>
      <c r="G101" s="251"/>
      <c r="H101" s="251"/>
      <c r="I101" s="251"/>
      <c r="J101" s="251"/>
      <c r="K101" s="251"/>
      <c r="L101" s="251"/>
      <c r="M101" s="251"/>
      <c r="N101" s="251"/>
      <c r="O101" s="251"/>
      <c r="P101" s="251"/>
      <c r="Q101" s="251"/>
      <c r="R101" s="251"/>
      <c r="S101" s="251"/>
      <c r="T101" s="252"/>
    </row>
    <row r="102" spans="2:20" s="216" customFormat="1" x14ac:dyDescent="0.25">
      <c r="B102" s="245"/>
      <c r="C102" s="246"/>
      <c r="D102" s="246"/>
      <c r="E102" s="273"/>
      <c r="F102" s="246"/>
      <c r="G102" s="246"/>
      <c r="H102" s="246"/>
      <c r="I102" s="246"/>
      <c r="J102" s="246"/>
      <c r="K102" s="246"/>
      <c r="L102" s="246"/>
      <c r="M102" s="246"/>
      <c r="N102" s="246"/>
      <c r="O102" s="246"/>
      <c r="P102" s="246"/>
      <c r="Q102" s="246"/>
      <c r="R102" s="246"/>
      <c r="S102" s="246"/>
      <c r="T102" s="247"/>
    </row>
    <row r="103" spans="2:20" s="216" customFormat="1" x14ac:dyDescent="0.25">
      <c r="B103" s="248"/>
      <c r="C103" s="266" t="s">
        <v>1631</v>
      </c>
      <c r="D103" s="249"/>
      <c r="E103" s="270"/>
      <c r="F103" s="249"/>
      <c r="G103" s="249"/>
      <c r="H103" s="249"/>
      <c r="I103" s="249"/>
      <c r="J103" s="249"/>
      <c r="K103" s="249"/>
      <c r="L103" s="249"/>
      <c r="M103" s="249"/>
      <c r="N103" s="249"/>
      <c r="O103" s="249"/>
      <c r="P103" s="249"/>
      <c r="Q103" s="249"/>
      <c r="R103" s="249"/>
      <c r="S103" s="249"/>
      <c r="T103" s="250"/>
    </row>
    <row r="104" spans="2:20" s="216" customFormat="1" x14ac:dyDescent="0.25">
      <c r="B104" s="248"/>
      <c r="C104" s="249"/>
      <c r="D104" s="249"/>
      <c r="E104" s="270"/>
      <c r="F104" s="249"/>
      <c r="G104" s="249"/>
      <c r="H104" s="249"/>
      <c r="I104" s="249"/>
      <c r="J104" s="249"/>
      <c r="K104" s="249"/>
      <c r="L104" s="249"/>
      <c r="M104" s="249"/>
      <c r="N104" s="249"/>
      <c r="O104" s="249"/>
      <c r="P104" s="249"/>
      <c r="Q104" s="249"/>
      <c r="R104" s="249"/>
      <c r="S104" s="249"/>
      <c r="T104" s="250"/>
    </row>
    <row r="105" spans="2:20" s="220" customFormat="1" x14ac:dyDescent="0.25">
      <c r="B105" s="277"/>
      <c r="C105" s="280" t="s">
        <v>1592</v>
      </c>
      <c r="D105" s="274"/>
      <c r="E105" s="278"/>
      <c r="F105" s="281" t="s">
        <v>1632</v>
      </c>
      <c r="G105" s="274"/>
      <c r="H105" s="274"/>
      <c r="I105" s="274"/>
      <c r="J105" s="282" t="s">
        <v>1633</v>
      </c>
      <c r="K105" s="274"/>
      <c r="L105" s="274"/>
      <c r="M105" s="274"/>
      <c r="N105" s="283" t="s">
        <v>1634</v>
      </c>
      <c r="O105" s="274"/>
      <c r="P105" s="274"/>
      <c r="Q105" s="274"/>
      <c r="R105" s="274"/>
      <c r="S105" s="274"/>
      <c r="T105" s="279"/>
    </row>
    <row r="106" spans="2:20" s="216" customFormat="1" x14ac:dyDescent="0.25">
      <c r="B106" s="248"/>
      <c r="C106" s="276" t="str">
        <f>Resultaten!F20-Resultaten!G20&amp;" kilo materiaal bespaard in één jaar"</f>
        <v>0 kilo materiaal bespaard in één jaar</v>
      </c>
      <c r="D106" s="249"/>
      <c r="E106" s="270"/>
      <c r="F106" s="276" t="str">
        <f>Resultaten!J20-Resultaten!K20 &amp; " MJ-eq bespaard in één jaar"</f>
        <v>0 MJ-eq bespaard in één jaar</v>
      </c>
      <c r="G106" s="249"/>
      <c r="H106" s="249"/>
      <c r="I106" s="249"/>
      <c r="J106" s="276" t="str">
        <f>Resultaten!N20-Resultaten!O20&amp;" kubieke meter water bespaard in één jaar"</f>
        <v>0 kubieke meter water bespaard in één jaar</v>
      </c>
      <c r="K106" s="249"/>
      <c r="L106" s="249"/>
      <c r="M106" s="249"/>
      <c r="N106" s="275" t="str">
        <f>Resultaten!R20-Resultaten!S20 &amp; " kg CO2-eq bespaard in één jaar"</f>
        <v>0 kg CO2-eq bespaard in één jaar</v>
      </c>
      <c r="O106" s="249"/>
      <c r="P106" s="249"/>
      <c r="Q106" s="249"/>
      <c r="R106" s="249"/>
      <c r="S106" s="249"/>
      <c r="T106" s="250"/>
    </row>
    <row r="107" spans="2:20" s="216" customFormat="1" x14ac:dyDescent="0.25">
      <c r="B107" s="248"/>
      <c r="C107" s="249" t="str">
        <f>"Dat staat gelijk aan het gewicht van "&amp; ROUND((Resultaten!F20-Resultaten!G20)/3000,0) &amp; " orka's"</f>
        <v>Dat staat gelijk aan het gewicht van 0 orka's</v>
      </c>
      <c r="D107" s="249"/>
      <c r="E107" s="270"/>
      <c r="F107" s="284" t="str">
        <f>"Dat staat gelijk aan het jaarlijkse energiegebruik "</f>
        <v xml:space="preserve">Dat staat gelijk aan het jaarlijkse energiegebruik </v>
      </c>
      <c r="G107" s="249"/>
      <c r="H107" s="249"/>
      <c r="I107" s="249"/>
      <c r="J107" s="249" t="str">
        <f xml:space="preserve"> "Dat staat gelijk aan " &amp; (Resultaten!N20-Resultaten!O20)*1000 &amp; " liter"</f>
        <v>Dat staat gelijk aan 0 liter</v>
      </c>
      <c r="K107" s="249"/>
      <c r="L107" s="249"/>
      <c r="M107" s="249"/>
      <c r="N107" s="249" t="str">
        <f>"Dat staat gelijk aan " &amp; ROUND((Resultaten!R20-Resultaten!S20)/270,0) &amp; " passagiers per vliegtuig van Amsterdam naar Berlijn en terug"</f>
        <v>Dat staat gelijk aan 0 passagiers per vliegtuig van Amsterdam naar Berlijn en terug</v>
      </c>
      <c r="O107" s="249"/>
      <c r="P107" s="249"/>
      <c r="Q107" s="249"/>
      <c r="R107" s="249"/>
      <c r="S107" s="249"/>
      <c r="T107" s="250"/>
    </row>
    <row r="108" spans="2:20" s="216" customFormat="1" x14ac:dyDescent="0.25">
      <c r="B108" s="248"/>
      <c r="C108" s="249"/>
      <c r="D108" s="249"/>
      <c r="E108" s="270"/>
      <c r="F108" s="249" t="str">
        <f>"van " &amp; ROUND((Resultaten!J20-Resultaten!K20)/10195.2,0) &amp; " huishoudens"</f>
        <v>van 0 huishoudens</v>
      </c>
      <c r="G108" s="249"/>
      <c r="H108" s="249"/>
      <c r="I108" s="249"/>
      <c r="J108" s="249" t="str">
        <f>"Dat staat gelijk aan het jaarlijkse watergebruik van "</f>
        <v xml:space="preserve">Dat staat gelijk aan het jaarlijkse watergebruik van </v>
      </c>
      <c r="K108" s="249"/>
      <c r="L108" s="249"/>
      <c r="M108" s="249"/>
      <c r="N108" s="249"/>
      <c r="O108" s="249"/>
      <c r="P108" s="249"/>
      <c r="Q108" s="249"/>
      <c r="R108" s="249"/>
      <c r="S108" s="249"/>
      <c r="T108" s="250"/>
    </row>
    <row r="109" spans="2:20" s="216" customFormat="1" x14ac:dyDescent="0.25">
      <c r="B109" s="248"/>
      <c r="C109" s="249"/>
      <c r="D109" s="249"/>
      <c r="E109" s="270"/>
      <c r="F109" s="249"/>
      <c r="G109" s="249"/>
      <c r="H109" s="249"/>
      <c r="I109" s="249"/>
      <c r="J109" s="249" t="str">
        <f>ROUND((Resultaten!N20-Resultaten!O20)/93,0) &amp; " tweepersoonshuishoudens"</f>
        <v>0 tweepersoonshuishoudens</v>
      </c>
      <c r="K109" s="249"/>
      <c r="L109" s="249"/>
      <c r="M109" s="249"/>
      <c r="N109" s="249"/>
      <c r="O109" s="249"/>
      <c r="P109" s="249"/>
      <c r="Q109" s="249"/>
      <c r="R109" s="249"/>
      <c r="S109" s="249"/>
      <c r="T109" s="250"/>
    </row>
    <row r="110" spans="2:20" s="216" customFormat="1" ht="12.6" thickBot="1" x14ac:dyDescent="0.3">
      <c r="B110" s="271"/>
      <c r="C110" s="251"/>
      <c r="D110" s="251"/>
      <c r="E110" s="272"/>
      <c r="F110" s="251"/>
      <c r="G110" s="251"/>
      <c r="H110" s="251"/>
      <c r="I110" s="251"/>
      <c r="J110" s="251"/>
      <c r="K110" s="251"/>
      <c r="L110" s="251"/>
      <c r="M110" s="251"/>
      <c r="N110" s="251"/>
      <c r="O110" s="251"/>
      <c r="P110" s="251"/>
      <c r="Q110" s="251"/>
      <c r="R110" s="251"/>
      <c r="S110" s="251"/>
      <c r="T110" s="252"/>
    </row>
    <row r="111" spans="2:20" s="216" customFormat="1" x14ac:dyDescent="0.25">
      <c r="E111" s="218"/>
    </row>
    <row r="112" spans="2:20" s="216" customFormat="1" x14ac:dyDescent="0.25">
      <c r="E112" s="218"/>
    </row>
    <row r="113" spans="5:5" s="216" customFormat="1" x14ac:dyDescent="0.25">
      <c r="E113" s="218"/>
    </row>
    <row r="114" spans="5:5" s="216" customFormat="1" x14ac:dyDescent="0.25">
      <c r="E114" s="218"/>
    </row>
    <row r="115" spans="5:5" s="216" customFormat="1" x14ac:dyDescent="0.25">
      <c r="E115" s="218"/>
    </row>
    <row r="116" spans="5:5" s="216" customFormat="1" x14ac:dyDescent="0.25">
      <c r="E116" s="218"/>
    </row>
    <row r="117" spans="5:5" customFormat="1" ht="14.4" hidden="1" x14ac:dyDescent="0.3"/>
    <row r="118" spans="5:5" customFormat="1" ht="14.4" hidden="1" x14ac:dyDescent="0.3"/>
    <row r="119" spans="5:5" customFormat="1" ht="14.4" hidden="1" x14ac:dyDescent="0.3"/>
    <row r="120" spans="5:5" customFormat="1" ht="14.4" hidden="1" x14ac:dyDescent="0.3"/>
    <row r="121" spans="5:5" customFormat="1" ht="14.4" hidden="1" x14ac:dyDescent="0.3"/>
    <row r="122" spans="5:5" customFormat="1" ht="14.4" hidden="1" x14ac:dyDescent="0.3"/>
    <row r="123" spans="5:5" customFormat="1" ht="14.4" hidden="1" x14ac:dyDescent="0.3"/>
    <row r="124" spans="5:5" customFormat="1" ht="14.4" hidden="1" x14ac:dyDescent="0.3"/>
    <row r="125" spans="5:5" customFormat="1" ht="14.4" hidden="1" x14ac:dyDescent="0.3"/>
    <row r="126" spans="5:5" customFormat="1" ht="14.4" hidden="1" x14ac:dyDescent="0.3"/>
    <row r="127" spans="5:5" customFormat="1" ht="14.4" hidden="1" x14ac:dyDescent="0.3"/>
    <row r="128" spans="5:5" customFormat="1" ht="14.4" hidden="1" x14ac:dyDescent="0.3"/>
    <row r="129" customFormat="1" ht="14.4" hidden="1" x14ac:dyDescent="0.3"/>
    <row r="130" customFormat="1" ht="14.4" hidden="1" x14ac:dyDescent="0.3"/>
    <row r="131" customFormat="1" ht="14.4" hidden="1" x14ac:dyDescent="0.3"/>
    <row r="132" customFormat="1" ht="14.4" hidden="1" x14ac:dyDescent="0.3"/>
    <row r="133" customFormat="1" ht="14.4" hidden="1" x14ac:dyDescent="0.3"/>
    <row r="134" customFormat="1" ht="14.4" hidden="1" x14ac:dyDescent="0.3"/>
    <row r="135" customFormat="1" ht="14.4" hidden="1" x14ac:dyDescent="0.3"/>
    <row r="136" customFormat="1" ht="14.4" hidden="1" x14ac:dyDescent="0.3"/>
    <row r="137" customFormat="1" ht="14.4" hidden="1" x14ac:dyDescent="0.3"/>
    <row r="138" customFormat="1" ht="14.4" hidden="1" x14ac:dyDescent="0.3"/>
    <row r="139" customFormat="1" ht="14.4" hidden="1" x14ac:dyDescent="0.3"/>
    <row r="140" customFormat="1" ht="14.4" hidden="1" x14ac:dyDescent="0.3"/>
    <row r="141" customFormat="1" ht="14.4" hidden="1" x14ac:dyDescent="0.3"/>
    <row r="142" customFormat="1" ht="14.4" hidden="1" x14ac:dyDescent="0.3"/>
    <row r="143" customFormat="1" ht="14.4" hidden="1" x14ac:dyDescent="0.3"/>
    <row r="144" customFormat="1" ht="14.4" hidden="1" x14ac:dyDescent="0.3"/>
    <row r="145" customFormat="1" ht="14.4" hidden="1" x14ac:dyDescent="0.3"/>
    <row r="146" customFormat="1" ht="14.4" hidden="1" x14ac:dyDescent="0.3"/>
    <row r="147" customFormat="1" ht="14.4" hidden="1" x14ac:dyDescent="0.3"/>
    <row r="148" customFormat="1" ht="14.4" hidden="1" x14ac:dyDescent="0.3"/>
    <row r="149" customFormat="1" ht="14.4" hidden="1" x14ac:dyDescent="0.3"/>
    <row r="150" customFormat="1" ht="14.4" hidden="1" x14ac:dyDescent="0.3"/>
    <row r="151" customFormat="1" ht="14.4" hidden="1" x14ac:dyDescent="0.3"/>
    <row r="152" customFormat="1" ht="14.4" hidden="1" x14ac:dyDescent="0.3"/>
    <row r="153" customFormat="1" ht="14.4" hidden="1" x14ac:dyDescent="0.3"/>
    <row r="154" customFormat="1" ht="14.4" hidden="1" x14ac:dyDescent="0.3"/>
    <row r="155" customFormat="1" ht="14.4" hidden="1" x14ac:dyDescent="0.3"/>
    <row r="156" customFormat="1" ht="14.4" hidden="1" x14ac:dyDescent="0.3"/>
    <row r="157" customFormat="1" ht="14.4" hidden="1" x14ac:dyDescent="0.3"/>
    <row r="158" customFormat="1" ht="14.4" hidden="1" x14ac:dyDescent="0.3"/>
    <row r="159" customFormat="1" ht="14.4" hidden="1" x14ac:dyDescent="0.3"/>
    <row r="160" customFormat="1" ht="14.4" hidden="1" x14ac:dyDescent="0.3"/>
    <row r="161" customFormat="1" ht="14.4" hidden="1" x14ac:dyDescent="0.3"/>
    <row r="162" customFormat="1" ht="14.4" hidden="1" x14ac:dyDescent="0.3"/>
    <row r="163" customFormat="1" ht="14.4" hidden="1" x14ac:dyDescent="0.3"/>
    <row r="164" customFormat="1" ht="14.4" hidden="1" x14ac:dyDescent="0.3"/>
    <row r="165" customFormat="1" ht="14.4" hidden="1" x14ac:dyDescent="0.3"/>
    <row r="166" customFormat="1" ht="14.4" hidden="1" x14ac:dyDescent="0.3"/>
    <row r="167" customFormat="1" ht="14.4" hidden="1" x14ac:dyDescent="0.3"/>
    <row r="168" customFormat="1" ht="14.4" hidden="1" x14ac:dyDescent="0.3"/>
    <row r="169" customFormat="1" ht="14.4" hidden="1" x14ac:dyDescent="0.3"/>
    <row r="170" customFormat="1" ht="14.4" hidden="1" x14ac:dyDescent="0.3"/>
    <row r="171" customFormat="1" ht="14.4" hidden="1" x14ac:dyDescent="0.3"/>
    <row r="172" customFormat="1" ht="14.4" hidden="1" x14ac:dyDescent="0.3"/>
    <row r="173" customFormat="1" ht="14.4" hidden="1" x14ac:dyDescent="0.3"/>
    <row r="174" customFormat="1" ht="14.4" hidden="1" x14ac:dyDescent="0.3"/>
    <row r="175" customFormat="1" ht="14.4" hidden="1" x14ac:dyDescent="0.3"/>
    <row r="176" customFormat="1" ht="14.4" hidden="1" x14ac:dyDescent="0.3"/>
    <row r="177" customFormat="1" ht="14.4" hidden="1" x14ac:dyDescent="0.3"/>
    <row r="178" customFormat="1" ht="14.4" hidden="1" x14ac:dyDescent="0.3"/>
    <row r="179" customFormat="1" ht="14.4" hidden="1" x14ac:dyDescent="0.3"/>
    <row r="180" customFormat="1" ht="14.4" hidden="1" x14ac:dyDescent="0.3"/>
    <row r="181" customFormat="1" ht="14.4" hidden="1" x14ac:dyDescent="0.3"/>
    <row r="182" customFormat="1" ht="14.4" hidden="1" x14ac:dyDescent="0.3"/>
    <row r="183" customFormat="1" ht="14.4" hidden="1" x14ac:dyDescent="0.3"/>
    <row r="184" customFormat="1" ht="14.4" hidden="1" x14ac:dyDescent="0.3"/>
    <row r="185" customFormat="1" ht="14.4" hidden="1" x14ac:dyDescent="0.3"/>
    <row r="186" customFormat="1" ht="14.4" hidden="1" x14ac:dyDescent="0.3"/>
    <row r="187" customFormat="1" ht="14.4" hidden="1" x14ac:dyDescent="0.3"/>
    <row r="188" customFormat="1" ht="14.4" hidden="1" x14ac:dyDescent="0.3"/>
    <row r="189" customFormat="1" ht="14.4" hidden="1" x14ac:dyDescent="0.3"/>
    <row r="190" customFormat="1" ht="14.4" hidden="1" x14ac:dyDescent="0.3"/>
    <row r="191" customFormat="1" ht="14.4" hidden="1" x14ac:dyDescent="0.3"/>
    <row r="192" customFormat="1" ht="14.4" hidden="1" x14ac:dyDescent="0.3"/>
    <row r="193" customFormat="1" ht="14.4" hidden="1" x14ac:dyDescent="0.3"/>
    <row r="194" customFormat="1" ht="14.4" hidden="1" x14ac:dyDescent="0.3"/>
    <row r="195" customFormat="1" ht="14.4" hidden="1" x14ac:dyDescent="0.3"/>
    <row r="196" customFormat="1" ht="14.4" hidden="1" x14ac:dyDescent="0.3"/>
    <row r="197" customFormat="1" ht="14.4" hidden="1" x14ac:dyDescent="0.3"/>
    <row r="198" customFormat="1" ht="14.4" hidden="1" x14ac:dyDescent="0.3"/>
    <row r="199" customFormat="1" ht="14.4" hidden="1" x14ac:dyDescent="0.3"/>
    <row r="200" customFormat="1" ht="14.4" hidden="1" x14ac:dyDescent="0.3"/>
    <row r="201" customFormat="1" ht="14.4" hidden="1" x14ac:dyDescent="0.3"/>
    <row r="202" customFormat="1" ht="14.4" hidden="1" x14ac:dyDescent="0.3"/>
    <row r="203" customFormat="1" ht="14.4" hidden="1" x14ac:dyDescent="0.3"/>
    <row r="204" customFormat="1" ht="14.4" hidden="1" x14ac:dyDescent="0.3"/>
    <row r="205" customFormat="1" ht="14.4" hidden="1" x14ac:dyDescent="0.3"/>
    <row r="206" customFormat="1" ht="14.4" hidden="1" x14ac:dyDescent="0.3"/>
    <row r="207" customFormat="1" ht="14.4" hidden="1" x14ac:dyDescent="0.3"/>
    <row r="208" customFormat="1" ht="14.4" hidden="1" x14ac:dyDescent="0.3"/>
    <row r="209" customFormat="1" ht="14.4" hidden="1" x14ac:dyDescent="0.3"/>
    <row r="210" customFormat="1" ht="14.4" hidden="1" x14ac:dyDescent="0.3"/>
    <row r="211" customFormat="1" ht="14.4" hidden="1" x14ac:dyDescent="0.3"/>
    <row r="212" customFormat="1" ht="14.4" hidden="1" x14ac:dyDescent="0.3"/>
    <row r="213" customFormat="1" ht="14.4" hidden="1" x14ac:dyDescent="0.3"/>
    <row r="214" customFormat="1" ht="14.4" hidden="1" x14ac:dyDescent="0.3"/>
    <row r="215" customFormat="1" ht="14.4" hidden="1" x14ac:dyDescent="0.3"/>
    <row r="216" customFormat="1" ht="14.4" hidden="1" x14ac:dyDescent="0.3"/>
    <row r="217" customFormat="1" ht="14.4" hidden="1" x14ac:dyDescent="0.3"/>
    <row r="218" customFormat="1" ht="14.4" hidden="1" x14ac:dyDescent="0.3"/>
    <row r="219" customFormat="1" ht="14.4" hidden="1" x14ac:dyDescent="0.3"/>
    <row r="220" customFormat="1" ht="14.4" hidden="1" x14ac:dyDescent="0.3"/>
    <row r="221" customFormat="1" ht="14.4" hidden="1" x14ac:dyDescent="0.3"/>
    <row r="222" customFormat="1" ht="14.4" hidden="1" x14ac:dyDescent="0.3"/>
    <row r="223" customFormat="1" ht="14.4" hidden="1" x14ac:dyDescent="0.3"/>
    <row r="224" customFormat="1" ht="14.4" hidden="1" x14ac:dyDescent="0.3"/>
    <row r="225" customFormat="1" ht="14.4" hidden="1" x14ac:dyDescent="0.3"/>
    <row r="226" customFormat="1" ht="14.4" hidden="1" x14ac:dyDescent="0.3"/>
    <row r="227" customFormat="1" ht="14.4" hidden="1" x14ac:dyDescent="0.3"/>
    <row r="228" customFormat="1" ht="14.4" hidden="1" x14ac:dyDescent="0.3"/>
    <row r="229" customFormat="1" ht="14.4" hidden="1" x14ac:dyDescent="0.3"/>
    <row r="230" customFormat="1" ht="14.4" hidden="1" x14ac:dyDescent="0.3"/>
    <row r="231" customFormat="1" ht="14.4" hidden="1" x14ac:dyDescent="0.3"/>
    <row r="232" customFormat="1" ht="14.4" hidden="1" x14ac:dyDescent="0.3"/>
    <row r="233" customFormat="1" ht="14.4" hidden="1" x14ac:dyDescent="0.3"/>
    <row r="234" customFormat="1" ht="14.4" hidden="1" x14ac:dyDescent="0.3"/>
    <row r="235" customFormat="1" ht="14.4" hidden="1" x14ac:dyDescent="0.3"/>
    <row r="236" customFormat="1" ht="14.4" hidden="1" x14ac:dyDescent="0.3"/>
    <row r="237" customFormat="1" ht="14.4" hidden="1" x14ac:dyDescent="0.3"/>
    <row r="238" customFormat="1" ht="14.4" hidden="1" x14ac:dyDescent="0.3"/>
    <row r="239" customFormat="1" ht="14.4" hidden="1" x14ac:dyDescent="0.3"/>
    <row r="240" customFormat="1" ht="14.4" hidden="1" x14ac:dyDescent="0.3"/>
    <row r="241" customFormat="1" ht="14.4" hidden="1" x14ac:dyDescent="0.3"/>
    <row r="242" customFormat="1" ht="14.4" hidden="1" x14ac:dyDescent="0.3"/>
    <row r="243" customFormat="1" ht="14.4" hidden="1" x14ac:dyDescent="0.3"/>
    <row r="244" customFormat="1" ht="14.4" hidden="1" x14ac:dyDescent="0.3"/>
    <row r="245" customFormat="1" ht="14.4" hidden="1" x14ac:dyDescent="0.3"/>
    <row r="246" customFormat="1" ht="14.4" hidden="1" x14ac:dyDescent="0.3"/>
    <row r="247" customFormat="1" ht="14.4" hidden="1" x14ac:dyDescent="0.3"/>
    <row r="248" customFormat="1" ht="14.4" hidden="1" x14ac:dyDescent="0.3"/>
    <row r="249" customFormat="1" ht="14.4" hidden="1" x14ac:dyDescent="0.3"/>
    <row r="250" customFormat="1" ht="14.4" hidden="1" x14ac:dyDescent="0.3"/>
    <row r="251" customFormat="1" ht="14.4" hidden="1" x14ac:dyDescent="0.3"/>
    <row r="252" customFormat="1" ht="14.4" hidden="1" x14ac:dyDescent="0.3"/>
    <row r="253" customFormat="1" ht="14.4" hidden="1" x14ac:dyDescent="0.3"/>
    <row r="254" customFormat="1" ht="14.4" hidden="1" x14ac:dyDescent="0.3"/>
    <row r="255" customFormat="1" ht="14.4" hidden="1" x14ac:dyDescent="0.3"/>
    <row r="256" customFormat="1" ht="14.4" hidden="1" x14ac:dyDescent="0.3"/>
    <row r="257" customFormat="1" ht="14.4" hidden="1" x14ac:dyDescent="0.3"/>
    <row r="258" customFormat="1" ht="14.4" hidden="1" x14ac:dyDescent="0.3"/>
    <row r="259" customFormat="1" ht="14.4" hidden="1" x14ac:dyDescent="0.3"/>
  </sheetData>
  <sheetProtection algorithmName="SHA-512" hashValue="+S6adey4U8d7OqKerP/mrrdZSQg70Pb0Lvcxva0o9I5Qhyg4wJCxfECKuBB2jWxWSFZ1ey5dc2SA+Qkvfbch3g==" saltValue="HqfDFNqnd+orTrIKDwJ7Pg==" spinCount="100000" sheet="1" objects="1" scenarios="1"/>
  <conditionalFormatting sqref="F16 F21:F24 F26 F29:F32 F34 F44:F45">
    <cfRule type="expression" dxfId="9" priority="14">
      <formula>$B$9=2</formula>
    </cfRule>
  </conditionalFormatting>
  <conditionalFormatting sqref="H16 H26 H29:H32 H34 H44:H45 H21:H23">
    <cfRule type="expression" dxfId="8" priority="12">
      <formula>$B$9=1</formula>
    </cfRule>
  </conditionalFormatting>
  <conditionalFormatting sqref="H26">
    <cfRule type="expression" dxfId="7" priority="13">
      <formula>$H$26&lt;&gt;1</formula>
    </cfRule>
  </conditionalFormatting>
  <conditionalFormatting sqref="H24">
    <cfRule type="expression" dxfId="6" priority="10">
      <formula>$B$9=1</formula>
    </cfRule>
  </conditionalFormatting>
  <conditionalFormatting sqref="B67">
    <cfRule type="expression" dxfId="5" priority="9">
      <formula>$B$9=1</formula>
    </cfRule>
  </conditionalFormatting>
  <conditionalFormatting sqref="J38">
    <cfRule type="expression" dxfId="4" priority="8">
      <formula>$K$36=2</formula>
    </cfRule>
  </conditionalFormatting>
  <conditionalFormatting sqref="J36 J38">
    <cfRule type="expression" dxfId="3" priority="7">
      <formula>OR($J$19="Optimaliseren opt-out (Nee/Nee)",$J$19="Volledig digitaal")</formula>
    </cfRule>
  </conditionalFormatting>
  <conditionalFormatting sqref="F40:F41">
    <cfRule type="expression" dxfId="2" priority="6">
      <formula>$B$9=2</formula>
    </cfRule>
  </conditionalFormatting>
  <conditionalFormatting sqref="H40:H41">
    <cfRule type="expression" dxfId="1" priority="5">
      <formula>$B$9=1</formula>
    </cfRule>
  </conditionalFormatting>
  <conditionalFormatting sqref="J26">
    <cfRule type="expression" dxfId="0" priority="2">
      <formula>$H$26&lt;&gt;1</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Group Box 8">
              <controlPr defaultSize="0" autoFill="0" autoPict="0" altText=" ">
                <anchor moveWithCells="1">
                  <from>
                    <xdr:col>0</xdr:col>
                    <xdr:colOff>160020</xdr:colOff>
                    <xdr:row>7</xdr:row>
                    <xdr:rowOff>7620</xdr:rowOff>
                  </from>
                  <to>
                    <xdr:col>11</xdr:col>
                    <xdr:colOff>144780</xdr:colOff>
                    <xdr:row>13</xdr:row>
                    <xdr:rowOff>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xdr:col>
                    <xdr:colOff>0</xdr:colOff>
                    <xdr:row>9</xdr:row>
                    <xdr:rowOff>144780</xdr:rowOff>
                  </from>
                  <to>
                    <xdr:col>5</xdr:col>
                    <xdr:colOff>495300</xdr:colOff>
                    <xdr:row>11</xdr:row>
                    <xdr:rowOff>60960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4</xdr:col>
                    <xdr:colOff>0</xdr:colOff>
                    <xdr:row>11</xdr:row>
                    <xdr:rowOff>45720</xdr:rowOff>
                  </from>
                  <to>
                    <xdr:col>5</xdr:col>
                    <xdr:colOff>518160</xdr:colOff>
                    <xdr:row>12</xdr:row>
                    <xdr:rowOff>114300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9</xdr:col>
                    <xdr:colOff>502920</xdr:colOff>
                    <xdr:row>34</xdr:row>
                    <xdr:rowOff>15240</xdr:rowOff>
                  </from>
                  <to>
                    <xdr:col>9</xdr:col>
                    <xdr:colOff>1706880</xdr:colOff>
                    <xdr:row>37</xdr:row>
                    <xdr:rowOff>22860</xdr:rowOff>
                  </to>
                </anchor>
              </controlPr>
            </control>
          </mc:Choice>
        </mc:AlternateContent>
        <mc:AlternateContent xmlns:mc="http://schemas.openxmlformats.org/markup-compatibility/2006">
          <mc:Choice Requires="x14">
            <control shapeId="1033" r:id="rId8" name="Option Button 9">
              <controlPr defaultSize="0" autoFill="0" autoLine="0" autoPict="0">
                <anchor moveWithCells="1">
                  <from>
                    <xdr:col>9</xdr:col>
                    <xdr:colOff>1234440</xdr:colOff>
                    <xdr:row>34</xdr:row>
                    <xdr:rowOff>7620</xdr:rowOff>
                  </from>
                  <to>
                    <xdr:col>9</xdr:col>
                    <xdr:colOff>2209800</xdr:colOff>
                    <xdr:row>37</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50A84C5C-78EA-44F5-85CD-11A342D1A4F3}">
          <x14:formula1>
            <xm:f>'Invul-cijfers dashboard'!$B$10:$B$13</xm:f>
          </x14:formula1>
          <xm:sqref>J19</xm:sqref>
        </x14:dataValidation>
        <x14:dataValidation type="list" allowBlank="1" showInputMessage="1" showErrorMessage="1" xr:uid="{13898059-4BB1-4510-85AE-20E75CCED846}">
          <x14:formula1>
            <xm:f>Inputs!$M$6:$NC$6</xm:f>
          </x14:formula1>
          <xm:sqref>G3</xm:sqref>
        </x14:dataValidation>
        <x14:dataValidation type="list" allowBlank="1" showInputMessage="1" showErrorMessage="1" xr:uid="{18340EAB-6573-4A51-8D07-7DA7DB792D77}">
          <x14:formula1>
            <xm:f>Inputs!$M$6:$NE$6</xm:f>
          </x14:formula1>
          <xm:sqref>F3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1:ND380"/>
  <sheetViews>
    <sheetView zoomScale="85" zoomScaleNormal="85" workbookViewId="0">
      <pane ySplit="6" topLeftCell="A248" activePane="bottomLeft" state="frozen"/>
      <selection activeCell="E350" sqref="E350"/>
      <selection pane="bottomLeft" activeCell="E281" sqref="E281"/>
    </sheetView>
  </sheetViews>
  <sheetFormatPr defaultColWidth="8.88671875" defaultRowHeight="14.4" x14ac:dyDescent="0.3"/>
  <cols>
    <col min="1" max="1" width="2.33203125" style="8" customWidth="1"/>
    <col min="2" max="2" width="2.33203125" style="31" customWidth="1"/>
    <col min="3" max="4" width="2.33203125" style="9" customWidth="1"/>
    <col min="5" max="5" width="79.6640625" style="9" bestFit="1" customWidth="1"/>
    <col min="6" max="6" width="12.109375" style="9" customWidth="1"/>
    <col min="7" max="7" width="11.44140625" style="36" customWidth="1"/>
    <col min="8" max="11" width="2.88671875" style="9" customWidth="1"/>
    <col min="12" max="12" width="2.88671875" style="36" customWidth="1"/>
    <col min="13" max="20" width="9" style="9" bestFit="1" customWidth="1"/>
    <col min="21" max="21" width="9.44140625" style="9" bestFit="1" customWidth="1"/>
    <col min="22" max="27" width="9" style="9" bestFit="1" customWidth="1"/>
    <col min="28" max="29" width="9.44140625" style="9" bestFit="1" customWidth="1"/>
    <col min="30" max="62" width="9" style="9" bestFit="1" customWidth="1"/>
    <col min="63" max="63" width="9.44140625" style="9" bestFit="1" customWidth="1"/>
    <col min="64" max="101" width="9" style="9" bestFit="1" customWidth="1"/>
    <col min="102" max="102" width="9.44140625" style="9" bestFit="1" customWidth="1"/>
    <col min="103" max="103" width="9" style="9" bestFit="1" customWidth="1"/>
    <col min="104" max="104" width="9.44140625" style="9" bestFit="1" customWidth="1"/>
    <col min="105" max="179" width="9" style="9" bestFit="1" customWidth="1"/>
    <col min="180" max="180" width="9.44140625" style="9" bestFit="1" customWidth="1"/>
    <col min="181" max="264" width="9" style="9" bestFit="1" customWidth="1"/>
    <col min="265" max="265" width="9.44140625" style="9" bestFit="1" customWidth="1"/>
    <col min="266" max="315" width="9" style="9" bestFit="1" customWidth="1"/>
    <col min="316" max="316" width="9.44140625" style="9" bestFit="1" customWidth="1"/>
    <col min="317" max="366" width="9" style="9" bestFit="1" customWidth="1"/>
    <col min="367" max="367" width="9.44140625" style="9" bestFit="1" customWidth="1"/>
    <col min="368" max="16384" width="8.88671875" style="9"/>
  </cols>
  <sheetData>
    <row r="1" spans="1:368" s="5" customFormat="1" x14ac:dyDescent="0.3">
      <c r="A1" s="4" t="s">
        <v>20</v>
      </c>
      <c r="G1" s="35"/>
      <c r="L1" s="35"/>
    </row>
    <row r="2" spans="1:368" s="5" customFormat="1" x14ac:dyDescent="0.3">
      <c r="A2" s="4"/>
      <c r="E2" s="4" t="s">
        <v>0</v>
      </c>
      <c r="G2" s="35"/>
      <c r="L2" s="35"/>
      <c r="M2" s="4"/>
    </row>
    <row r="3" spans="1:368" s="5" customFormat="1" x14ac:dyDescent="0.3">
      <c r="A3" s="4"/>
      <c r="E3" s="5" t="s">
        <v>408</v>
      </c>
      <c r="F3" s="41"/>
      <c r="G3" s="35"/>
      <c r="L3" s="35"/>
      <c r="M3" s="4"/>
    </row>
    <row r="4" spans="1:368" s="5" customFormat="1" x14ac:dyDescent="0.3">
      <c r="A4" s="4"/>
      <c r="E4" s="5" t="s">
        <v>1164</v>
      </c>
      <c r="F4" s="91"/>
      <c r="G4" s="35"/>
      <c r="L4" s="35"/>
      <c r="M4" s="4"/>
    </row>
    <row r="5" spans="1:368" s="5" customFormat="1" x14ac:dyDescent="0.3">
      <c r="A5" s="4"/>
      <c r="G5" s="35"/>
      <c r="K5" s="5" t="s">
        <v>498</v>
      </c>
      <c r="L5" s="35"/>
      <c r="M5" s="4" t="s">
        <v>52</v>
      </c>
    </row>
    <row r="6" spans="1:368" s="5" customFormat="1" x14ac:dyDescent="0.3">
      <c r="E6" s="4" t="s">
        <v>21</v>
      </c>
      <c r="F6" s="4" t="s">
        <v>22</v>
      </c>
      <c r="G6" s="42" t="s">
        <v>23</v>
      </c>
      <c r="H6" s="5" t="s">
        <v>24</v>
      </c>
      <c r="I6" s="5" t="s">
        <v>25</v>
      </c>
      <c r="J6" s="5" t="s">
        <v>26</v>
      </c>
      <c r="K6" s="5">
        <v>1</v>
      </c>
      <c r="L6" s="35" t="s">
        <v>27</v>
      </c>
      <c r="M6" s="40" t="s">
        <v>53</v>
      </c>
      <c r="N6" s="40" t="s">
        <v>54</v>
      </c>
      <c r="O6" s="40" t="s">
        <v>55</v>
      </c>
      <c r="P6" s="40" t="s">
        <v>56</v>
      </c>
      <c r="Q6" s="40" t="s">
        <v>57</v>
      </c>
      <c r="R6" s="40" t="s">
        <v>58</v>
      </c>
      <c r="S6" s="40" t="s">
        <v>59</v>
      </c>
      <c r="T6" s="40" t="s">
        <v>60</v>
      </c>
      <c r="U6" s="40" t="s">
        <v>61</v>
      </c>
      <c r="V6" s="40" t="s">
        <v>62</v>
      </c>
      <c r="W6" s="40" t="s">
        <v>63</v>
      </c>
      <c r="X6" s="40" t="s">
        <v>64</v>
      </c>
      <c r="Y6" s="40" t="s">
        <v>65</v>
      </c>
      <c r="Z6" s="40" t="s">
        <v>66</v>
      </c>
      <c r="AA6" s="40" t="s">
        <v>67</v>
      </c>
      <c r="AB6" s="40" t="s">
        <v>7</v>
      </c>
      <c r="AC6" s="40" t="s">
        <v>68</v>
      </c>
      <c r="AD6" s="40" t="s">
        <v>69</v>
      </c>
      <c r="AE6" s="40" t="s">
        <v>70</v>
      </c>
      <c r="AF6" s="40" t="s">
        <v>71</v>
      </c>
      <c r="AG6" s="40" t="s">
        <v>72</v>
      </c>
      <c r="AH6" s="40" t="s">
        <v>73</v>
      </c>
      <c r="AI6" s="40" t="s">
        <v>74</v>
      </c>
      <c r="AJ6" s="40" t="s">
        <v>75</v>
      </c>
      <c r="AK6" s="40" t="s">
        <v>76</v>
      </c>
      <c r="AL6" s="40" t="s">
        <v>77</v>
      </c>
      <c r="AM6" s="40" t="s">
        <v>78</v>
      </c>
      <c r="AN6" s="40" t="s">
        <v>79</v>
      </c>
      <c r="AO6" s="40" t="s">
        <v>80</v>
      </c>
      <c r="AP6" s="40" t="s">
        <v>81</v>
      </c>
      <c r="AQ6" s="40" t="s">
        <v>82</v>
      </c>
      <c r="AR6" s="40" t="s">
        <v>83</v>
      </c>
      <c r="AS6" s="40" t="s">
        <v>84</v>
      </c>
      <c r="AT6" s="40" t="s">
        <v>85</v>
      </c>
      <c r="AU6" s="40" t="s">
        <v>86</v>
      </c>
      <c r="AV6" s="40" t="s">
        <v>87</v>
      </c>
      <c r="AW6" s="40" t="s">
        <v>88</v>
      </c>
      <c r="AX6" s="40" t="s">
        <v>89</v>
      </c>
      <c r="AY6" s="40" t="s">
        <v>90</v>
      </c>
      <c r="AZ6" s="40" t="s">
        <v>91</v>
      </c>
      <c r="BA6" s="40" t="s">
        <v>92</v>
      </c>
      <c r="BB6" s="40" t="s">
        <v>93</v>
      </c>
      <c r="BC6" s="40" t="s">
        <v>94</v>
      </c>
      <c r="BD6" s="40" t="s">
        <v>95</v>
      </c>
      <c r="BE6" s="40" t="s">
        <v>96</v>
      </c>
      <c r="BF6" s="40" t="s">
        <v>97</v>
      </c>
      <c r="BG6" s="40" t="s">
        <v>98</v>
      </c>
      <c r="BH6" s="40" t="s">
        <v>99</v>
      </c>
      <c r="BI6" s="40" t="s">
        <v>100</v>
      </c>
      <c r="BJ6" s="40" t="s">
        <v>101</v>
      </c>
      <c r="BK6" s="40" t="s">
        <v>102</v>
      </c>
      <c r="BL6" s="40" t="s">
        <v>103</v>
      </c>
      <c r="BM6" s="40" t="s">
        <v>104</v>
      </c>
      <c r="BN6" s="40" t="s">
        <v>105</v>
      </c>
      <c r="BO6" s="40" t="s">
        <v>106</v>
      </c>
      <c r="BP6" s="40" t="s">
        <v>107</v>
      </c>
      <c r="BQ6" s="40" t="s">
        <v>108</v>
      </c>
      <c r="BR6" s="40" t="s">
        <v>109</v>
      </c>
      <c r="BS6" s="40" t="s">
        <v>110</v>
      </c>
      <c r="BT6" s="40" t="s">
        <v>111</v>
      </c>
      <c r="BU6" s="40" t="s">
        <v>112</v>
      </c>
      <c r="BV6" s="40" t="s">
        <v>113</v>
      </c>
      <c r="BW6" s="40" t="s">
        <v>114</v>
      </c>
      <c r="BX6" s="40" t="s">
        <v>115</v>
      </c>
      <c r="BY6" s="40" t="s">
        <v>116</v>
      </c>
      <c r="BZ6" s="40" t="s">
        <v>117</v>
      </c>
      <c r="CA6" s="40" t="s">
        <v>118</v>
      </c>
      <c r="CB6" s="40" t="s">
        <v>119</v>
      </c>
      <c r="CC6" s="40" t="s">
        <v>120</v>
      </c>
      <c r="CD6" s="40" t="s">
        <v>121</v>
      </c>
      <c r="CE6" s="40" t="s">
        <v>122</v>
      </c>
      <c r="CF6" s="40" t="s">
        <v>123</v>
      </c>
      <c r="CG6" s="40" t="s">
        <v>124</v>
      </c>
      <c r="CH6" s="40" t="s">
        <v>125</v>
      </c>
      <c r="CI6" s="40" t="s">
        <v>126</v>
      </c>
      <c r="CJ6" s="40" t="s">
        <v>127</v>
      </c>
      <c r="CK6" s="40" t="s">
        <v>128</v>
      </c>
      <c r="CL6" s="40" t="s">
        <v>129</v>
      </c>
      <c r="CM6" s="40" t="s">
        <v>130</v>
      </c>
      <c r="CN6" s="40" t="s">
        <v>131</v>
      </c>
      <c r="CO6" s="40" t="s">
        <v>132</v>
      </c>
      <c r="CP6" s="40" t="s">
        <v>133</v>
      </c>
      <c r="CQ6" s="40" t="s">
        <v>134</v>
      </c>
      <c r="CR6" s="40" t="s">
        <v>135</v>
      </c>
      <c r="CS6" s="40" t="s">
        <v>136</v>
      </c>
      <c r="CT6" s="40" t="s">
        <v>137</v>
      </c>
      <c r="CU6" s="40" t="s">
        <v>138</v>
      </c>
      <c r="CV6" s="40" t="s">
        <v>139</v>
      </c>
      <c r="CW6" s="40" t="s">
        <v>140</v>
      </c>
      <c r="CX6" s="40" t="s">
        <v>141</v>
      </c>
      <c r="CY6" s="40" t="s">
        <v>142</v>
      </c>
      <c r="CZ6" s="40" t="s">
        <v>143</v>
      </c>
      <c r="DA6" s="40" t="s">
        <v>144</v>
      </c>
      <c r="DB6" s="40" t="s">
        <v>145</v>
      </c>
      <c r="DC6" s="40" t="s">
        <v>146</v>
      </c>
      <c r="DD6" s="40" t="s">
        <v>147</v>
      </c>
      <c r="DE6" s="40" t="s">
        <v>148</v>
      </c>
      <c r="DF6" s="40" t="s">
        <v>149</v>
      </c>
      <c r="DG6" s="40" t="s">
        <v>150</v>
      </c>
      <c r="DH6" s="40" t="s">
        <v>151</v>
      </c>
      <c r="DI6" s="40" t="s">
        <v>152</v>
      </c>
      <c r="DJ6" s="40" t="s">
        <v>153</v>
      </c>
      <c r="DK6" s="40" t="s">
        <v>154</v>
      </c>
      <c r="DL6" s="40" t="s">
        <v>155</v>
      </c>
      <c r="DM6" s="40" t="s">
        <v>156</v>
      </c>
      <c r="DN6" s="40" t="s">
        <v>157</v>
      </c>
      <c r="DO6" s="40" t="s">
        <v>158</v>
      </c>
      <c r="DP6" s="40" t="s">
        <v>159</v>
      </c>
      <c r="DQ6" s="40" t="s">
        <v>160</v>
      </c>
      <c r="DR6" s="40" t="s">
        <v>161</v>
      </c>
      <c r="DS6" s="40" t="s">
        <v>162</v>
      </c>
      <c r="DT6" s="40" t="s">
        <v>163</v>
      </c>
      <c r="DU6" s="40" t="s">
        <v>164</v>
      </c>
      <c r="DV6" s="40" t="s">
        <v>165</v>
      </c>
      <c r="DW6" s="40" t="s">
        <v>166</v>
      </c>
      <c r="DX6" s="40" t="s">
        <v>167</v>
      </c>
      <c r="DY6" s="40" t="s">
        <v>168</v>
      </c>
      <c r="DZ6" s="40" t="s">
        <v>169</v>
      </c>
      <c r="EA6" s="40" t="s">
        <v>170</v>
      </c>
      <c r="EB6" s="40" t="s">
        <v>171</v>
      </c>
      <c r="EC6" s="40" t="s">
        <v>172</v>
      </c>
      <c r="ED6" s="40" t="s">
        <v>173</v>
      </c>
      <c r="EE6" s="40" t="s">
        <v>174</v>
      </c>
      <c r="EF6" s="40" t="s">
        <v>175</v>
      </c>
      <c r="EG6" s="40" t="s">
        <v>176</v>
      </c>
      <c r="EH6" s="40" t="s">
        <v>177</v>
      </c>
      <c r="EI6" s="40" t="s">
        <v>178</v>
      </c>
      <c r="EJ6" s="40" t="s">
        <v>179</v>
      </c>
      <c r="EK6" s="40" t="s">
        <v>180</v>
      </c>
      <c r="EL6" s="40" t="s">
        <v>181</v>
      </c>
      <c r="EM6" s="40" t="s">
        <v>182</v>
      </c>
      <c r="EN6" s="40" t="s">
        <v>183</v>
      </c>
      <c r="EO6" s="40" t="s">
        <v>184</v>
      </c>
      <c r="EP6" s="40" t="s">
        <v>185</v>
      </c>
      <c r="EQ6" s="40" t="s">
        <v>186</v>
      </c>
      <c r="ER6" s="40" t="s">
        <v>187</v>
      </c>
      <c r="ES6" s="40" t="s">
        <v>188</v>
      </c>
      <c r="ET6" s="40" t="s">
        <v>189</v>
      </c>
      <c r="EU6" s="40" t="s">
        <v>190</v>
      </c>
      <c r="EV6" s="40" t="s">
        <v>191</v>
      </c>
      <c r="EW6" s="40" t="s">
        <v>192</v>
      </c>
      <c r="EX6" s="40" t="s">
        <v>193</v>
      </c>
      <c r="EY6" s="40" t="s">
        <v>194</v>
      </c>
      <c r="EZ6" s="40" t="s">
        <v>195</v>
      </c>
      <c r="FA6" s="40" t="s">
        <v>196</v>
      </c>
      <c r="FB6" s="40" t="s">
        <v>197</v>
      </c>
      <c r="FC6" s="40" t="s">
        <v>198</v>
      </c>
      <c r="FD6" s="40" t="s">
        <v>199</v>
      </c>
      <c r="FE6" s="40" t="s">
        <v>200</v>
      </c>
      <c r="FF6" s="40" t="s">
        <v>201</v>
      </c>
      <c r="FG6" s="40" t="s">
        <v>202</v>
      </c>
      <c r="FH6" s="40" t="s">
        <v>203</v>
      </c>
      <c r="FI6" s="40" t="s">
        <v>204</v>
      </c>
      <c r="FJ6" s="40" t="s">
        <v>205</v>
      </c>
      <c r="FK6" s="40" t="s">
        <v>206</v>
      </c>
      <c r="FL6" s="40" t="s">
        <v>207</v>
      </c>
      <c r="FM6" s="40" t="s">
        <v>208</v>
      </c>
      <c r="FN6" s="40" t="s">
        <v>209</v>
      </c>
      <c r="FO6" s="40" t="s">
        <v>210</v>
      </c>
      <c r="FP6" s="40" t="s">
        <v>211</v>
      </c>
      <c r="FQ6" s="40" t="s">
        <v>212</v>
      </c>
      <c r="FR6" s="40" t="s">
        <v>213</v>
      </c>
      <c r="FS6" s="40" t="s">
        <v>214</v>
      </c>
      <c r="FT6" s="40" t="s">
        <v>215</v>
      </c>
      <c r="FU6" s="40" t="s">
        <v>216</v>
      </c>
      <c r="FV6" s="40" t="s">
        <v>217</v>
      </c>
      <c r="FW6" s="40" t="s">
        <v>218</v>
      </c>
      <c r="FX6" s="40" t="s">
        <v>219</v>
      </c>
      <c r="FY6" s="40" t="s">
        <v>220</v>
      </c>
      <c r="FZ6" s="40" t="s">
        <v>221</v>
      </c>
      <c r="GA6" s="40" t="s">
        <v>222</v>
      </c>
      <c r="GB6" s="40" t="s">
        <v>223</v>
      </c>
      <c r="GC6" s="40" t="s">
        <v>224</v>
      </c>
      <c r="GD6" s="40" t="s">
        <v>225</v>
      </c>
      <c r="GE6" s="40" t="s">
        <v>226</v>
      </c>
      <c r="GF6" s="40" t="s">
        <v>227</v>
      </c>
      <c r="GG6" s="40" t="s">
        <v>228</v>
      </c>
      <c r="GH6" s="40" t="s">
        <v>229</v>
      </c>
      <c r="GI6" s="40" t="s">
        <v>230</v>
      </c>
      <c r="GJ6" s="40" t="s">
        <v>231</v>
      </c>
      <c r="GK6" s="40" t="s">
        <v>232</v>
      </c>
      <c r="GL6" s="40" t="s">
        <v>233</v>
      </c>
      <c r="GM6" s="40" t="s">
        <v>234</v>
      </c>
      <c r="GN6" s="40" t="s">
        <v>235</v>
      </c>
      <c r="GO6" s="40" t="s">
        <v>236</v>
      </c>
      <c r="GP6" s="40" t="s">
        <v>237</v>
      </c>
      <c r="GQ6" s="40" t="s">
        <v>238</v>
      </c>
      <c r="GR6" s="40" t="s">
        <v>239</v>
      </c>
      <c r="GS6" s="40" t="s">
        <v>240</v>
      </c>
      <c r="GT6" s="40" t="s">
        <v>241</v>
      </c>
      <c r="GU6" s="40" t="s">
        <v>242</v>
      </c>
      <c r="GV6" s="40" t="s">
        <v>243</v>
      </c>
      <c r="GW6" s="40" t="s">
        <v>244</v>
      </c>
      <c r="GX6" s="40" t="s">
        <v>245</v>
      </c>
      <c r="GY6" s="40" t="s">
        <v>246</v>
      </c>
      <c r="GZ6" s="40" t="s">
        <v>247</v>
      </c>
      <c r="HA6" s="40" t="s">
        <v>248</v>
      </c>
      <c r="HB6" s="40" t="s">
        <v>249</v>
      </c>
      <c r="HC6" s="40" t="s">
        <v>250</v>
      </c>
      <c r="HD6" s="40" t="s">
        <v>251</v>
      </c>
      <c r="HE6" s="40" t="s">
        <v>252</v>
      </c>
      <c r="HF6" s="40" t="s">
        <v>253</v>
      </c>
      <c r="HG6" s="40" t="s">
        <v>254</v>
      </c>
      <c r="HH6" s="40" t="s">
        <v>255</v>
      </c>
      <c r="HI6" s="40" t="s">
        <v>256</v>
      </c>
      <c r="HJ6" s="40" t="s">
        <v>257</v>
      </c>
      <c r="HK6" s="40" t="s">
        <v>258</v>
      </c>
      <c r="HL6" s="40" t="s">
        <v>259</v>
      </c>
      <c r="HM6" s="40" t="s">
        <v>260</v>
      </c>
      <c r="HN6" s="40" t="s">
        <v>261</v>
      </c>
      <c r="HO6" s="40" t="s">
        <v>262</v>
      </c>
      <c r="HP6" s="40" t="s">
        <v>263</v>
      </c>
      <c r="HQ6" s="40" t="s">
        <v>264</v>
      </c>
      <c r="HR6" s="40" t="s">
        <v>265</v>
      </c>
      <c r="HS6" s="40" t="s">
        <v>266</v>
      </c>
      <c r="HT6" s="40" t="s">
        <v>267</v>
      </c>
      <c r="HU6" s="40" t="s">
        <v>268</v>
      </c>
      <c r="HV6" s="40" t="s">
        <v>269</v>
      </c>
      <c r="HW6" s="40" t="s">
        <v>270</v>
      </c>
      <c r="HX6" s="40" t="s">
        <v>271</v>
      </c>
      <c r="HY6" s="40" t="s">
        <v>272</v>
      </c>
      <c r="HZ6" s="40" t="s">
        <v>273</v>
      </c>
      <c r="IA6" s="40" t="s">
        <v>274</v>
      </c>
      <c r="IB6" s="40" t="s">
        <v>275</v>
      </c>
      <c r="IC6" s="40" t="s">
        <v>276</v>
      </c>
      <c r="ID6" s="40" t="s">
        <v>277</v>
      </c>
      <c r="IE6" s="40" t="s">
        <v>278</v>
      </c>
      <c r="IF6" s="40" t="s">
        <v>279</v>
      </c>
      <c r="IG6" s="40" t="s">
        <v>280</v>
      </c>
      <c r="IH6" s="40" t="s">
        <v>281</v>
      </c>
      <c r="II6" s="40" t="s">
        <v>282</v>
      </c>
      <c r="IJ6" s="40" t="s">
        <v>283</v>
      </c>
      <c r="IK6" s="40" t="s">
        <v>284</v>
      </c>
      <c r="IL6" s="40" t="s">
        <v>285</v>
      </c>
      <c r="IM6" s="40" t="s">
        <v>286</v>
      </c>
      <c r="IN6" s="40" t="s">
        <v>287</v>
      </c>
      <c r="IO6" s="40" t="s">
        <v>288</v>
      </c>
      <c r="IP6" s="40" t="s">
        <v>289</v>
      </c>
      <c r="IQ6" s="40" t="s">
        <v>290</v>
      </c>
      <c r="IR6" s="40" t="s">
        <v>291</v>
      </c>
      <c r="IS6" s="40" t="s">
        <v>292</v>
      </c>
      <c r="IT6" s="40" t="s">
        <v>293</v>
      </c>
      <c r="IU6" s="40" t="s">
        <v>294</v>
      </c>
      <c r="IV6" s="40" t="s">
        <v>295</v>
      </c>
      <c r="IW6" s="40" t="s">
        <v>296</v>
      </c>
      <c r="IX6" s="40" t="s">
        <v>297</v>
      </c>
      <c r="IY6" s="40" t="s">
        <v>298</v>
      </c>
      <c r="IZ6" s="40" t="s">
        <v>299</v>
      </c>
      <c r="JA6" s="40" t="s">
        <v>300</v>
      </c>
      <c r="JB6" s="40" t="s">
        <v>301</v>
      </c>
      <c r="JC6" s="40" t="s">
        <v>302</v>
      </c>
      <c r="JD6" s="40" t="s">
        <v>303</v>
      </c>
      <c r="JE6" s="40" t="s">
        <v>38</v>
      </c>
      <c r="JF6" s="40" t="s">
        <v>304</v>
      </c>
      <c r="JG6" s="40" t="s">
        <v>305</v>
      </c>
      <c r="JH6" s="40" t="s">
        <v>306</v>
      </c>
      <c r="JI6" s="40" t="s">
        <v>307</v>
      </c>
      <c r="JJ6" s="40" t="s">
        <v>308</v>
      </c>
      <c r="JK6" s="40" t="s">
        <v>309</v>
      </c>
      <c r="JL6" s="40" t="s">
        <v>310</v>
      </c>
      <c r="JM6" s="40" t="s">
        <v>311</v>
      </c>
      <c r="JN6" s="40" t="s">
        <v>312</v>
      </c>
      <c r="JO6" s="40" t="s">
        <v>313</v>
      </c>
      <c r="JP6" s="40" t="s">
        <v>314</v>
      </c>
      <c r="JQ6" s="40" t="s">
        <v>315</v>
      </c>
      <c r="JR6" s="40" t="s">
        <v>316</v>
      </c>
      <c r="JS6" s="40" t="s">
        <v>317</v>
      </c>
      <c r="JT6" s="40" t="s">
        <v>318</v>
      </c>
      <c r="JU6" s="40" t="s">
        <v>319</v>
      </c>
      <c r="JV6" s="40" t="s">
        <v>320</v>
      </c>
      <c r="JW6" s="40" t="s">
        <v>321</v>
      </c>
      <c r="JX6" s="40" t="s">
        <v>322</v>
      </c>
      <c r="JY6" s="40" t="s">
        <v>323</v>
      </c>
      <c r="JZ6" s="40" t="s">
        <v>324</v>
      </c>
      <c r="KA6" s="40" t="s">
        <v>325</v>
      </c>
      <c r="KB6" s="40" t="s">
        <v>326</v>
      </c>
      <c r="KC6" s="40" t="s">
        <v>327</v>
      </c>
      <c r="KD6" s="40" t="s">
        <v>328</v>
      </c>
      <c r="KE6" s="40" t="s">
        <v>329</v>
      </c>
      <c r="KF6" s="40" t="s">
        <v>330</v>
      </c>
      <c r="KG6" s="40" t="s">
        <v>331</v>
      </c>
      <c r="KH6" s="40" t="s">
        <v>332</v>
      </c>
      <c r="KI6" s="40" t="s">
        <v>333</v>
      </c>
      <c r="KJ6" s="40" t="s">
        <v>334</v>
      </c>
      <c r="KK6" s="40" t="s">
        <v>335</v>
      </c>
      <c r="KL6" s="40" t="s">
        <v>336</v>
      </c>
      <c r="KM6" s="40" t="s">
        <v>337</v>
      </c>
      <c r="KN6" s="40" t="s">
        <v>338</v>
      </c>
      <c r="KO6" s="40" t="s">
        <v>339</v>
      </c>
      <c r="KP6" s="40" t="s">
        <v>340</v>
      </c>
      <c r="KQ6" s="40" t="s">
        <v>341</v>
      </c>
      <c r="KR6" s="40" t="s">
        <v>342</v>
      </c>
      <c r="KS6" s="40" t="s">
        <v>343</v>
      </c>
      <c r="KT6" s="40" t="s">
        <v>344</v>
      </c>
      <c r="KU6" s="40" t="s">
        <v>345</v>
      </c>
      <c r="KV6" s="40" t="s">
        <v>346</v>
      </c>
      <c r="KW6" s="40" t="s">
        <v>347</v>
      </c>
      <c r="KX6" s="40" t="s">
        <v>348</v>
      </c>
      <c r="KY6" s="40" t="s">
        <v>349</v>
      </c>
      <c r="KZ6" s="40" t="s">
        <v>350</v>
      </c>
      <c r="LA6" s="40" t="s">
        <v>351</v>
      </c>
      <c r="LB6" s="40" t="s">
        <v>352</v>
      </c>
      <c r="LC6" s="40" t="s">
        <v>353</v>
      </c>
      <c r="LD6" s="40" t="s">
        <v>39</v>
      </c>
      <c r="LE6" s="40" t="s">
        <v>354</v>
      </c>
      <c r="LF6" s="40" t="s">
        <v>355</v>
      </c>
      <c r="LG6" s="40" t="s">
        <v>40</v>
      </c>
      <c r="LH6" s="40" t="s">
        <v>356</v>
      </c>
      <c r="LI6" s="40" t="s">
        <v>357</v>
      </c>
      <c r="LJ6" s="40" t="s">
        <v>358</v>
      </c>
      <c r="LK6" s="40" t="s">
        <v>359</v>
      </c>
      <c r="LL6" s="40" t="s">
        <v>360</v>
      </c>
      <c r="LM6" s="40" t="s">
        <v>361</v>
      </c>
      <c r="LN6" s="40" t="s">
        <v>362</v>
      </c>
      <c r="LO6" s="40" t="s">
        <v>363</v>
      </c>
      <c r="LP6" s="40" t="s">
        <v>364</v>
      </c>
      <c r="LQ6" s="40" t="s">
        <v>365</v>
      </c>
      <c r="LR6" s="40" t="s">
        <v>366</v>
      </c>
      <c r="LS6" s="40" t="s">
        <v>367</v>
      </c>
      <c r="LT6" s="40" t="s">
        <v>368</v>
      </c>
      <c r="LU6" s="40" t="s">
        <v>369</v>
      </c>
      <c r="LV6" s="40" t="s">
        <v>370</v>
      </c>
      <c r="LW6" s="40" t="s">
        <v>371</v>
      </c>
      <c r="LX6" s="40" t="s">
        <v>372</v>
      </c>
      <c r="LY6" s="40" t="s">
        <v>373</v>
      </c>
      <c r="LZ6" s="40" t="s">
        <v>374</v>
      </c>
      <c r="MA6" s="40" t="s">
        <v>375</v>
      </c>
      <c r="MB6" s="40" t="s">
        <v>376</v>
      </c>
      <c r="MC6" s="40" t="s">
        <v>377</v>
      </c>
      <c r="MD6" s="40" t="s">
        <v>378</v>
      </c>
      <c r="ME6" s="40" t="s">
        <v>379</v>
      </c>
      <c r="MF6" s="40" t="s">
        <v>380</v>
      </c>
      <c r="MG6" s="40" t="s">
        <v>381</v>
      </c>
      <c r="MH6" s="40" t="s">
        <v>382</v>
      </c>
      <c r="MI6" s="40" t="s">
        <v>383</v>
      </c>
      <c r="MJ6" s="40" t="s">
        <v>384</v>
      </c>
      <c r="MK6" s="40" t="s">
        <v>385</v>
      </c>
      <c r="ML6" s="40" t="s">
        <v>386</v>
      </c>
      <c r="MM6" s="40" t="s">
        <v>387</v>
      </c>
      <c r="MN6" s="40" t="s">
        <v>388</v>
      </c>
      <c r="MO6" s="40" t="s">
        <v>389</v>
      </c>
      <c r="MP6" s="40" t="s">
        <v>390</v>
      </c>
      <c r="MQ6" s="40" t="s">
        <v>391</v>
      </c>
      <c r="MR6" s="40" t="s">
        <v>392</v>
      </c>
      <c r="MS6" s="40" t="s">
        <v>393</v>
      </c>
      <c r="MT6" s="40" t="s">
        <v>394</v>
      </c>
      <c r="MU6" s="40" t="s">
        <v>395</v>
      </c>
      <c r="MV6" s="40" t="s">
        <v>396</v>
      </c>
      <c r="MW6" s="40" t="s">
        <v>397</v>
      </c>
      <c r="MX6" s="40" t="s">
        <v>398</v>
      </c>
      <c r="MY6" s="40" t="s">
        <v>399</v>
      </c>
      <c r="MZ6" s="40" t="s">
        <v>400</v>
      </c>
      <c r="NA6" s="40" t="s">
        <v>401</v>
      </c>
      <c r="NB6" s="40" t="s">
        <v>402</v>
      </c>
      <c r="NC6" s="40" t="s">
        <v>403</v>
      </c>
      <c r="ND6" s="5" t="s">
        <v>1628</v>
      </c>
    </row>
    <row r="8" spans="1:368" s="7" customFormat="1" x14ac:dyDescent="0.3">
      <c r="A8" s="6" t="s">
        <v>451</v>
      </c>
      <c r="B8" s="30"/>
      <c r="G8" s="37"/>
      <c r="L8" s="37"/>
    </row>
    <row r="9" spans="1:368" s="71" customFormat="1" x14ac:dyDescent="0.3">
      <c r="A9" s="69"/>
      <c r="B9" s="70"/>
      <c r="G9" s="72"/>
      <c r="L9" s="72"/>
    </row>
    <row r="10" spans="1:368" s="71" customFormat="1" x14ac:dyDescent="0.3">
      <c r="A10" s="69"/>
      <c r="B10" s="70"/>
      <c r="E10" s="71" t="s">
        <v>452</v>
      </c>
      <c r="F10" s="71">
        <v>1000</v>
      </c>
      <c r="G10" s="72" t="s">
        <v>453</v>
      </c>
      <c r="L10" s="72"/>
    </row>
    <row r="11" spans="1:368" s="71" customFormat="1" x14ac:dyDescent="0.3">
      <c r="A11" s="69"/>
      <c r="B11" s="70"/>
      <c r="E11" s="71" t="s">
        <v>454</v>
      </c>
      <c r="F11" s="71">
        <v>52</v>
      </c>
      <c r="G11" s="72" t="s">
        <v>455</v>
      </c>
      <c r="L11" s="72"/>
    </row>
    <row r="12" spans="1:368" s="71" customFormat="1" x14ac:dyDescent="0.3">
      <c r="A12" s="69"/>
      <c r="B12" s="70"/>
      <c r="E12" s="71" t="s">
        <v>590</v>
      </c>
      <c r="F12" s="71">
        <v>0.27777800000000002</v>
      </c>
      <c r="G12" s="72" t="s">
        <v>591</v>
      </c>
      <c r="L12" s="72"/>
    </row>
    <row r="13" spans="1:368" s="71" customFormat="1" x14ac:dyDescent="0.3">
      <c r="A13" s="69"/>
      <c r="B13" s="70"/>
      <c r="E13" s="71" t="s">
        <v>1089</v>
      </c>
      <c r="F13" s="71">
        <v>60</v>
      </c>
      <c r="G13" s="72" t="s">
        <v>1090</v>
      </c>
      <c r="L13" s="72"/>
    </row>
    <row r="14" spans="1:368" x14ac:dyDescent="0.3">
      <c r="E14" s="9" t="s">
        <v>1553</v>
      </c>
      <c r="F14" s="9">
        <v>1000</v>
      </c>
      <c r="G14" s="36" t="s">
        <v>1554</v>
      </c>
    </row>
    <row r="16" spans="1:368" s="7" customFormat="1" x14ac:dyDescent="0.3">
      <c r="A16" s="6" t="s">
        <v>49</v>
      </c>
      <c r="B16" s="30"/>
      <c r="G16" s="37"/>
      <c r="L16" s="37"/>
    </row>
    <row r="18" spans="2:10" x14ac:dyDescent="0.3">
      <c r="B18" s="31" t="s">
        <v>818</v>
      </c>
    </row>
    <row r="19" spans="2:10" x14ac:dyDescent="0.3">
      <c r="C19" s="9" t="s">
        <v>819</v>
      </c>
    </row>
    <row r="20" spans="2:10" x14ac:dyDescent="0.3">
      <c r="E20" s="9" t="s">
        <v>50</v>
      </c>
      <c r="F20" s="71">
        <f>8*14</f>
        <v>112</v>
      </c>
      <c r="G20" s="36" t="s">
        <v>28</v>
      </c>
      <c r="H20" s="9" t="s">
        <v>1165</v>
      </c>
    </row>
    <row r="21" spans="2:10" x14ac:dyDescent="0.3">
      <c r="E21" s="9" t="s">
        <v>51</v>
      </c>
      <c r="F21" s="71">
        <v>5</v>
      </c>
      <c r="G21" s="36" t="s">
        <v>28</v>
      </c>
      <c r="I21" s="9" t="s">
        <v>1166</v>
      </c>
    </row>
    <row r="22" spans="2:10" ht="1.95" customHeight="1" x14ac:dyDescent="0.3"/>
    <row r="23" spans="2:10" x14ac:dyDescent="0.3">
      <c r="E23" s="9" t="s">
        <v>1128</v>
      </c>
      <c r="F23" s="98">
        <v>0</v>
      </c>
      <c r="G23" s="36" t="s">
        <v>9</v>
      </c>
      <c r="H23" s="9" t="s">
        <v>1161</v>
      </c>
    </row>
    <row r="24" spans="2:10" ht="1.95" customHeight="1" x14ac:dyDescent="0.3">
      <c r="F24" s="98"/>
    </row>
    <row r="25" spans="2:10" ht="12" customHeight="1" x14ac:dyDescent="0.3">
      <c r="E25" s="9" t="s">
        <v>449</v>
      </c>
      <c r="F25" s="98">
        <v>0</v>
      </c>
      <c r="G25" s="36" t="s">
        <v>9</v>
      </c>
      <c r="H25" s="9" t="s">
        <v>1161</v>
      </c>
    </row>
    <row r="27" spans="2:10" x14ac:dyDescent="0.3">
      <c r="E27" s="9" t="s">
        <v>1569</v>
      </c>
      <c r="F27" s="102">
        <v>0.05</v>
      </c>
      <c r="G27" s="36" t="s">
        <v>9</v>
      </c>
      <c r="J27" s="9" t="s">
        <v>1570</v>
      </c>
    </row>
    <row r="29" spans="2:10" x14ac:dyDescent="0.3">
      <c r="B29" s="31" t="s">
        <v>458</v>
      </c>
    </row>
    <row r="30" spans="2:10" x14ac:dyDescent="0.3">
      <c r="C30" s="9" t="s">
        <v>535</v>
      </c>
    </row>
    <row r="31" spans="2:10" x14ac:dyDescent="0.3">
      <c r="D31" s="9" t="s">
        <v>537</v>
      </c>
    </row>
    <row r="32" spans="2:10" ht="15" x14ac:dyDescent="0.35">
      <c r="E32" s="9" t="s">
        <v>525</v>
      </c>
      <c r="F32" s="71">
        <v>27.245000000000001</v>
      </c>
      <c r="G32" s="36" t="s">
        <v>473</v>
      </c>
      <c r="H32" s="143" t="s">
        <v>1557</v>
      </c>
      <c r="I32" s="9" t="s">
        <v>993</v>
      </c>
    </row>
    <row r="33" spans="1:12" x14ac:dyDescent="0.3">
      <c r="E33" s="9" t="s">
        <v>526</v>
      </c>
      <c r="F33" s="71">
        <v>7.4050000000000005E-2</v>
      </c>
      <c r="G33" s="36" t="s">
        <v>473</v>
      </c>
    </row>
    <row r="34" spans="1:12" x14ac:dyDescent="0.3">
      <c r="E34" s="9" t="s">
        <v>527</v>
      </c>
      <c r="F34" s="71">
        <v>4.6504000000000001E-4</v>
      </c>
      <c r="G34" s="36" t="s">
        <v>473</v>
      </c>
    </row>
    <row r="35" spans="1:12" x14ac:dyDescent="0.3">
      <c r="E35" s="9" t="s">
        <v>528</v>
      </c>
      <c r="F35" s="71">
        <v>2.1696</v>
      </c>
      <c r="G35" s="36" t="s">
        <v>473</v>
      </c>
    </row>
    <row r="36" spans="1:12" x14ac:dyDescent="0.3">
      <c r="E36" s="9" t="s">
        <v>529</v>
      </c>
      <c r="F36" s="71">
        <v>1.0834999999999999</v>
      </c>
      <c r="G36" s="36" t="s">
        <v>473</v>
      </c>
    </row>
    <row r="37" spans="1:12" ht="1.95" customHeight="1" x14ac:dyDescent="0.3">
      <c r="F37" s="71"/>
    </row>
    <row r="38" spans="1:12" x14ac:dyDescent="0.3">
      <c r="A38" s="9"/>
      <c r="B38" s="9"/>
      <c r="E38" s="9" t="s">
        <v>530</v>
      </c>
      <c r="F38" s="71">
        <v>17.510999999999999</v>
      </c>
      <c r="G38" s="36" t="s">
        <v>473</v>
      </c>
    </row>
    <row r="39" spans="1:12" x14ac:dyDescent="0.3">
      <c r="A39" s="9"/>
      <c r="B39" s="9"/>
      <c r="E39" s="9" t="s">
        <v>531</v>
      </c>
      <c r="F39" s="71">
        <v>11.567</v>
      </c>
      <c r="G39" s="36" t="s">
        <v>473</v>
      </c>
    </row>
    <row r="40" spans="1:12" x14ac:dyDescent="0.3">
      <c r="A40" s="9"/>
      <c r="B40" s="9"/>
      <c r="E40" s="9" t="s">
        <v>532</v>
      </c>
      <c r="F40" s="71">
        <v>3.0032000000000001E-3</v>
      </c>
      <c r="G40" s="36" t="s">
        <v>473</v>
      </c>
    </row>
    <row r="41" spans="1:12" ht="1.95" customHeight="1" x14ac:dyDescent="0.3">
      <c r="A41" s="9"/>
      <c r="B41" s="9"/>
      <c r="F41" s="71"/>
    </row>
    <row r="42" spans="1:12" x14ac:dyDescent="0.3">
      <c r="A42" s="9"/>
      <c r="B42" s="9"/>
      <c r="E42" s="9" t="s">
        <v>533</v>
      </c>
      <c r="F42" s="71">
        <v>2.6164E-2</v>
      </c>
      <c r="G42" s="36" t="s">
        <v>474</v>
      </c>
    </row>
    <row r="43" spans="1:12" ht="1.95" customHeight="1" x14ac:dyDescent="0.3">
      <c r="A43" s="9"/>
      <c r="B43" s="9"/>
      <c r="F43" s="71"/>
    </row>
    <row r="44" spans="1:12" x14ac:dyDescent="0.3">
      <c r="A44" s="9"/>
      <c r="B44" s="9"/>
      <c r="E44" s="9" t="s">
        <v>534</v>
      </c>
      <c r="F44" s="71">
        <v>1.3794999999999999</v>
      </c>
      <c r="G44" s="36" t="s">
        <v>475</v>
      </c>
    </row>
    <row r="46" spans="1:12" x14ac:dyDescent="0.3">
      <c r="A46" s="9"/>
      <c r="B46" s="9"/>
      <c r="D46" s="9" t="s">
        <v>538</v>
      </c>
    </row>
    <row r="47" spans="1:12" ht="15" x14ac:dyDescent="0.35">
      <c r="A47" s="9"/>
      <c r="B47" s="9"/>
      <c r="E47" s="9" t="s">
        <v>778</v>
      </c>
      <c r="F47" s="71">
        <v>11.555</v>
      </c>
      <c r="G47" s="36" t="s">
        <v>473</v>
      </c>
      <c r="H47" s="143" t="s">
        <v>553</v>
      </c>
      <c r="I47" s="9" t="s">
        <v>551</v>
      </c>
      <c r="J47" s="9" t="s">
        <v>1556</v>
      </c>
      <c r="L47" s="36" t="s">
        <v>1558</v>
      </c>
    </row>
    <row r="48" spans="1:12" x14ac:dyDescent="0.3">
      <c r="A48" s="9"/>
      <c r="B48" s="9"/>
      <c r="E48" s="9" t="s">
        <v>779</v>
      </c>
      <c r="F48" s="71">
        <v>4.3588000000000002E-2</v>
      </c>
      <c r="G48" s="36" t="s">
        <v>473</v>
      </c>
    </row>
    <row r="49" spans="1:9" x14ac:dyDescent="0.3">
      <c r="A49" s="9"/>
      <c r="B49" s="9"/>
      <c r="E49" s="9" t="s">
        <v>780</v>
      </c>
      <c r="F49" s="71">
        <v>2.9163000000000003E-4</v>
      </c>
      <c r="G49" s="36" t="s">
        <v>473</v>
      </c>
    </row>
    <row r="50" spans="1:9" x14ac:dyDescent="0.3">
      <c r="A50" s="9"/>
      <c r="B50" s="9"/>
      <c r="E50" s="9" t="s">
        <v>781</v>
      </c>
      <c r="F50" s="71">
        <v>1.2242999999999999</v>
      </c>
      <c r="G50" s="36" t="s">
        <v>473</v>
      </c>
    </row>
    <row r="51" spans="1:9" x14ac:dyDescent="0.3">
      <c r="A51" s="9"/>
      <c r="B51" s="9"/>
      <c r="E51" s="9" t="s">
        <v>782</v>
      </c>
      <c r="F51" s="71">
        <v>0.63278999999999996</v>
      </c>
      <c r="G51" s="36" t="s">
        <v>473</v>
      </c>
    </row>
    <row r="52" spans="1:9" ht="1.95" customHeight="1" x14ac:dyDescent="0.3">
      <c r="A52" s="9"/>
      <c r="B52" s="9"/>
      <c r="F52" s="71"/>
    </row>
    <row r="53" spans="1:9" x14ac:dyDescent="0.3">
      <c r="A53" s="9"/>
      <c r="B53" s="9"/>
      <c r="E53" s="9" t="s">
        <v>783</v>
      </c>
      <c r="F53" s="71">
        <v>13.451000000000001</v>
      </c>
      <c r="G53" s="36" t="s">
        <v>473</v>
      </c>
    </row>
    <row r="54" spans="1:9" x14ac:dyDescent="0.3">
      <c r="A54" s="9"/>
      <c r="B54" s="9"/>
      <c r="E54" s="9" t="s">
        <v>784</v>
      </c>
      <c r="F54" s="71">
        <v>6.6791</v>
      </c>
      <c r="G54" s="36" t="s">
        <v>473</v>
      </c>
    </row>
    <row r="55" spans="1:9" x14ac:dyDescent="0.3">
      <c r="A55" s="9"/>
      <c r="B55" s="9"/>
      <c r="E55" s="9" t="s">
        <v>785</v>
      </c>
      <c r="F55" s="71">
        <v>1.796E-2</v>
      </c>
      <c r="G55" s="36" t="s">
        <v>473</v>
      </c>
    </row>
    <row r="56" spans="1:9" ht="1.95" customHeight="1" x14ac:dyDescent="0.3">
      <c r="A56" s="9"/>
      <c r="B56" s="9"/>
      <c r="F56" s="71"/>
    </row>
    <row r="57" spans="1:9" x14ac:dyDescent="0.3">
      <c r="A57" s="9"/>
      <c r="B57" s="9"/>
      <c r="E57" s="9" t="s">
        <v>786</v>
      </c>
      <c r="F57" s="71">
        <v>2.1631999999999998E-2</v>
      </c>
      <c r="G57" s="36" t="s">
        <v>474</v>
      </c>
    </row>
    <row r="58" spans="1:9" ht="1.95" customHeight="1" x14ac:dyDescent="0.3">
      <c r="A58" s="9"/>
      <c r="B58" s="9"/>
      <c r="F58" s="71"/>
    </row>
    <row r="59" spans="1:9" x14ac:dyDescent="0.3">
      <c r="A59" s="9"/>
      <c r="B59" s="9"/>
      <c r="E59" s="9" t="s">
        <v>787</v>
      </c>
      <c r="F59" s="71">
        <v>1.1591</v>
      </c>
      <c r="G59" s="36" t="s">
        <v>475</v>
      </c>
    </row>
    <row r="61" spans="1:9" x14ac:dyDescent="0.3">
      <c r="A61" s="9"/>
      <c r="B61" s="9"/>
      <c r="C61" s="9" t="s">
        <v>536</v>
      </c>
    </row>
    <row r="62" spans="1:9" x14ac:dyDescent="0.3">
      <c r="A62" s="9"/>
      <c r="B62" s="9"/>
      <c r="E62" s="9" t="s">
        <v>525</v>
      </c>
      <c r="F62" s="71">
        <v>27.245000000000001</v>
      </c>
      <c r="G62" s="36" t="s">
        <v>473</v>
      </c>
      <c r="H62" s="87" t="s">
        <v>1557</v>
      </c>
      <c r="I62" s="9" t="s">
        <v>993</v>
      </c>
    </row>
    <row r="63" spans="1:9" x14ac:dyDescent="0.3">
      <c r="A63" s="9"/>
      <c r="B63" s="9"/>
      <c r="E63" s="9" t="s">
        <v>526</v>
      </c>
      <c r="F63" s="71">
        <v>7.4050000000000005E-2</v>
      </c>
      <c r="G63" s="36" t="s">
        <v>473</v>
      </c>
    </row>
    <row r="64" spans="1:9" x14ac:dyDescent="0.3">
      <c r="A64" s="9"/>
      <c r="B64" s="9"/>
      <c r="E64" s="9" t="s">
        <v>527</v>
      </c>
      <c r="F64" s="71">
        <v>4.6504000000000001E-4</v>
      </c>
      <c r="G64" s="36" t="s">
        <v>473</v>
      </c>
    </row>
    <row r="65" spans="1:9" x14ac:dyDescent="0.3">
      <c r="A65" s="9"/>
      <c r="B65" s="9"/>
      <c r="E65" s="9" t="s">
        <v>528</v>
      </c>
      <c r="F65" s="71">
        <v>2.1696</v>
      </c>
      <c r="G65" s="36" t="s">
        <v>473</v>
      </c>
    </row>
    <row r="66" spans="1:9" x14ac:dyDescent="0.3">
      <c r="A66" s="9"/>
      <c r="B66" s="9"/>
      <c r="E66" s="9" t="s">
        <v>529</v>
      </c>
      <c r="F66" s="71">
        <v>1.0834999999999999</v>
      </c>
      <c r="G66" s="36" t="s">
        <v>473</v>
      </c>
    </row>
    <row r="67" spans="1:9" ht="1.95" customHeight="1" x14ac:dyDescent="0.3">
      <c r="A67" s="9"/>
      <c r="B67" s="9"/>
      <c r="F67" s="71"/>
    </row>
    <row r="68" spans="1:9" x14ac:dyDescent="0.3">
      <c r="A68" s="9"/>
      <c r="B68" s="9"/>
      <c r="E68" s="9" t="s">
        <v>530</v>
      </c>
      <c r="F68" s="71">
        <v>17.510999999999999</v>
      </c>
      <c r="G68" s="36" t="s">
        <v>473</v>
      </c>
    </row>
    <row r="69" spans="1:9" x14ac:dyDescent="0.3">
      <c r="A69" s="9"/>
      <c r="B69" s="9"/>
      <c r="E69" s="9" t="s">
        <v>531</v>
      </c>
      <c r="F69" s="71">
        <v>11.567</v>
      </c>
      <c r="G69" s="36" t="s">
        <v>473</v>
      </c>
    </row>
    <row r="70" spans="1:9" x14ac:dyDescent="0.3">
      <c r="A70" s="9"/>
      <c r="B70" s="9"/>
      <c r="E70" s="9" t="s">
        <v>532</v>
      </c>
      <c r="F70" s="71">
        <v>3.0032000000000001E-3</v>
      </c>
      <c r="G70" s="36" t="s">
        <v>473</v>
      </c>
    </row>
    <row r="71" spans="1:9" ht="1.95" customHeight="1" x14ac:dyDescent="0.3">
      <c r="A71" s="9"/>
      <c r="B71" s="9"/>
      <c r="F71" s="71"/>
    </row>
    <row r="72" spans="1:9" x14ac:dyDescent="0.3">
      <c r="A72" s="9"/>
      <c r="B72" s="9"/>
      <c r="E72" s="9" t="s">
        <v>533</v>
      </c>
      <c r="F72" s="71">
        <v>2.6164E-2</v>
      </c>
      <c r="G72" s="36" t="s">
        <v>474</v>
      </c>
    </row>
    <row r="73" spans="1:9" ht="1.95" customHeight="1" x14ac:dyDescent="0.3">
      <c r="A73" s="9"/>
      <c r="B73" s="9"/>
      <c r="F73" s="71"/>
    </row>
    <row r="74" spans="1:9" x14ac:dyDescent="0.3">
      <c r="A74" s="9"/>
      <c r="B74" s="9"/>
      <c r="E74" s="9" t="s">
        <v>534</v>
      </c>
      <c r="F74" s="71">
        <v>1.3794999999999999</v>
      </c>
      <c r="G74" s="36" t="s">
        <v>475</v>
      </c>
    </row>
    <row r="75" spans="1:9" x14ac:dyDescent="0.3">
      <c r="A75" s="9"/>
      <c r="B75" s="9"/>
      <c r="F75" s="78"/>
    </row>
    <row r="76" spans="1:9" x14ac:dyDescent="0.3">
      <c r="A76" s="9"/>
      <c r="B76" s="9"/>
      <c r="E76" s="9" t="s">
        <v>541</v>
      </c>
      <c r="F76" s="78">
        <v>11.555</v>
      </c>
      <c r="G76" s="36" t="s">
        <v>473</v>
      </c>
      <c r="H76" s="88" t="s">
        <v>553</v>
      </c>
      <c r="I76" s="9" t="s">
        <v>551</v>
      </c>
    </row>
    <row r="77" spans="1:9" x14ac:dyDescent="0.3">
      <c r="A77" s="9"/>
      <c r="B77" s="9"/>
      <c r="E77" s="9" t="s">
        <v>542</v>
      </c>
      <c r="F77" s="78">
        <v>4.3588000000000002E-2</v>
      </c>
      <c r="G77" s="36" t="s">
        <v>473</v>
      </c>
    </row>
    <row r="78" spans="1:9" x14ac:dyDescent="0.3">
      <c r="A78" s="9"/>
      <c r="B78" s="9"/>
      <c r="E78" s="9" t="s">
        <v>543</v>
      </c>
      <c r="F78" s="78">
        <v>2.9163000000000003E-4</v>
      </c>
      <c r="G78" s="36" t="s">
        <v>473</v>
      </c>
    </row>
    <row r="79" spans="1:9" x14ac:dyDescent="0.3">
      <c r="A79" s="9"/>
      <c r="B79" s="9"/>
      <c r="E79" s="9" t="s">
        <v>544</v>
      </c>
      <c r="F79" s="78">
        <v>1.2242999999999999</v>
      </c>
      <c r="G79" s="36" t="s">
        <v>473</v>
      </c>
    </row>
    <row r="80" spans="1:9" x14ac:dyDescent="0.3">
      <c r="A80" s="9"/>
      <c r="B80" s="9"/>
      <c r="E80" s="9" t="s">
        <v>545</v>
      </c>
      <c r="F80" s="78">
        <v>0.63278999999999996</v>
      </c>
      <c r="G80" s="36" t="s">
        <v>473</v>
      </c>
    </row>
    <row r="81" spans="1:9" ht="1.95" customHeight="1" x14ac:dyDescent="0.3">
      <c r="A81" s="9"/>
      <c r="B81" s="9"/>
      <c r="F81" s="78"/>
    </row>
    <row r="82" spans="1:9" x14ac:dyDescent="0.3">
      <c r="A82" s="9"/>
      <c r="B82" s="9"/>
      <c r="E82" s="9" t="s">
        <v>546</v>
      </c>
      <c r="F82" s="78">
        <v>13.451000000000001</v>
      </c>
      <c r="G82" s="36" t="s">
        <v>473</v>
      </c>
    </row>
    <row r="83" spans="1:9" x14ac:dyDescent="0.3">
      <c r="A83" s="9"/>
      <c r="B83" s="9"/>
      <c r="E83" s="9" t="s">
        <v>547</v>
      </c>
      <c r="F83" s="78">
        <v>6.6791</v>
      </c>
      <c r="G83" s="36" t="s">
        <v>473</v>
      </c>
    </row>
    <row r="84" spans="1:9" x14ac:dyDescent="0.3">
      <c r="A84" s="9"/>
      <c r="B84" s="9"/>
      <c r="E84" s="9" t="s">
        <v>548</v>
      </c>
      <c r="F84" s="78">
        <v>1.796E-2</v>
      </c>
      <c r="G84" s="36" t="s">
        <v>473</v>
      </c>
    </row>
    <row r="85" spans="1:9" ht="1.95" customHeight="1" x14ac:dyDescent="0.3">
      <c r="A85" s="9"/>
      <c r="B85" s="9"/>
      <c r="F85" s="78"/>
    </row>
    <row r="86" spans="1:9" x14ac:dyDescent="0.3">
      <c r="A86" s="9"/>
      <c r="B86" s="9"/>
      <c r="E86" s="9" t="s">
        <v>549</v>
      </c>
      <c r="F86" s="78">
        <v>2.1631999999999998E-2</v>
      </c>
      <c r="G86" s="36" t="s">
        <v>474</v>
      </c>
    </row>
    <row r="87" spans="1:9" ht="1.95" customHeight="1" x14ac:dyDescent="0.3">
      <c r="A87" s="9"/>
      <c r="B87" s="9"/>
      <c r="F87" s="78"/>
    </row>
    <row r="88" spans="1:9" x14ac:dyDescent="0.3">
      <c r="A88" s="9"/>
      <c r="B88" s="9"/>
      <c r="E88" s="9" t="s">
        <v>550</v>
      </c>
      <c r="F88" s="78">
        <v>1.0482</v>
      </c>
      <c r="G88" s="36" t="s">
        <v>475</v>
      </c>
    </row>
    <row r="90" spans="1:9" x14ac:dyDescent="0.3">
      <c r="A90" s="9"/>
      <c r="B90" s="9"/>
      <c r="C90" s="9" t="s">
        <v>18</v>
      </c>
    </row>
    <row r="91" spans="1:9" x14ac:dyDescent="0.3">
      <c r="A91" s="9"/>
      <c r="B91" s="9"/>
      <c r="D91" s="9" t="s">
        <v>537</v>
      </c>
    </row>
    <row r="92" spans="1:9" ht="15" x14ac:dyDescent="0.35">
      <c r="A92" s="9"/>
      <c r="B92" s="9"/>
      <c r="E92" s="9" t="s">
        <v>788</v>
      </c>
      <c r="F92" s="77">
        <v>1.8527</v>
      </c>
      <c r="G92" s="36" t="s">
        <v>473</v>
      </c>
      <c r="H92" s="76" t="s">
        <v>470</v>
      </c>
      <c r="I92" s="9" t="s">
        <v>469</v>
      </c>
    </row>
    <row r="93" spans="1:9" x14ac:dyDescent="0.3">
      <c r="A93" s="9"/>
      <c r="B93" s="9"/>
      <c r="E93" s="9" t="s">
        <v>789</v>
      </c>
      <c r="F93" s="77">
        <v>4.5129000000000002E-2</v>
      </c>
      <c r="G93" s="36" t="s">
        <v>473</v>
      </c>
    </row>
    <row r="94" spans="1:9" x14ac:dyDescent="0.3">
      <c r="A94" s="9"/>
      <c r="B94" s="9"/>
      <c r="E94" s="9" t="s">
        <v>790</v>
      </c>
      <c r="F94" s="77">
        <v>1.3131E-3</v>
      </c>
      <c r="G94" s="36" t="s">
        <v>473</v>
      </c>
    </row>
    <row r="95" spans="1:9" x14ac:dyDescent="0.3">
      <c r="A95" s="9"/>
      <c r="B95" s="9"/>
      <c r="E95" s="9" t="s">
        <v>791</v>
      </c>
      <c r="F95" s="77">
        <v>1.3875999999999999</v>
      </c>
      <c r="G95" s="36" t="s">
        <v>473</v>
      </c>
    </row>
    <row r="96" spans="1:9" x14ac:dyDescent="0.3">
      <c r="A96" s="9"/>
      <c r="B96" s="9"/>
      <c r="E96" s="9" t="s">
        <v>792</v>
      </c>
      <c r="F96" s="77">
        <v>0.38163999999999998</v>
      </c>
      <c r="G96" s="36" t="s">
        <v>473</v>
      </c>
    </row>
    <row r="97" spans="1:12" ht="1.95" customHeight="1" x14ac:dyDescent="0.3">
      <c r="A97" s="9"/>
      <c r="B97" s="9"/>
      <c r="F97" s="77"/>
    </row>
    <row r="98" spans="1:12" x14ac:dyDescent="0.3">
      <c r="A98" s="9"/>
      <c r="B98" s="9"/>
      <c r="E98" s="9" t="s">
        <v>793</v>
      </c>
      <c r="F98" s="77">
        <v>87.111000000000004</v>
      </c>
      <c r="G98" s="36" t="s">
        <v>473</v>
      </c>
    </row>
    <row r="99" spans="1:12" x14ac:dyDescent="0.3">
      <c r="A99" s="9"/>
      <c r="B99" s="9"/>
      <c r="E99" s="9" t="s">
        <v>794</v>
      </c>
      <c r="F99" s="77">
        <v>5.8593999999999999</v>
      </c>
      <c r="G99" s="36" t="s">
        <v>473</v>
      </c>
    </row>
    <row r="100" spans="1:12" x14ac:dyDescent="0.3">
      <c r="A100" s="9"/>
      <c r="B100" s="9"/>
      <c r="E100" s="9" t="s">
        <v>795</v>
      </c>
      <c r="F100" s="77">
        <v>1.4170999999999999E-3</v>
      </c>
      <c r="G100" s="36" t="s">
        <v>473</v>
      </c>
    </row>
    <row r="101" spans="1:12" ht="1.95" customHeight="1" x14ac:dyDescent="0.3">
      <c r="A101" s="9"/>
      <c r="B101" s="9"/>
      <c r="F101" s="77"/>
    </row>
    <row r="102" spans="1:12" x14ac:dyDescent="0.3">
      <c r="A102" s="9"/>
      <c r="B102" s="9"/>
      <c r="E102" s="9" t="s">
        <v>796</v>
      </c>
      <c r="F102" s="77">
        <v>1.3081000000000001E-2</v>
      </c>
      <c r="G102" s="36" t="s">
        <v>474</v>
      </c>
    </row>
    <row r="103" spans="1:12" ht="1.95" customHeight="1" x14ac:dyDescent="0.3">
      <c r="A103" s="9"/>
      <c r="B103" s="9"/>
      <c r="F103" s="77"/>
    </row>
    <row r="104" spans="1:12" x14ac:dyDescent="0.3">
      <c r="A104" s="9"/>
      <c r="B104" s="9"/>
      <c r="E104" s="9" t="s">
        <v>797</v>
      </c>
      <c r="F104" s="77">
        <v>3.1406999999999998</v>
      </c>
      <c r="G104" s="36" t="s">
        <v>475</v>
      </c>
    </row>
    <row r="106" spans="1:12" x14ac:dyDescent="0.3">
      <c r="A106" s="9"/>
      <c r="B106" s="9"/>
      <c r="D106" s="9" t="s">
        <v>539</v>
      </c>
    </row>
    <row r="107" spans="1:12" ht="15" x14ac:dyDescent="0.35">
      <c r="A107" s="9"/>
      <c r="B107" s="9"/>
      <c r="E107" s="9" t="s">
        <v>798</v>
      </c>
      <c r="F107" s="77">
        <v>0.64571000000000001</v>
      </c>
      <c r="G107" s="36" t="s">
        <v>473</v>
      </c>
      <c r="H107" s="76" t="s">
        <v>483</v>
      </c>
      <c r="I107" s="9" t="s">
        <v>484</v>
      </c>
      <c r="L107" s="36" t="s">
        <v>609</v>
      </c>
    </row>
    <row r="108" spans="1:12" x14ac:dyDescent="0.3">
      <c r="A108" s="9"/>
      <c r="B108" s="9"/>
      <c r="E108" s="9" t="s">
        <v>799</v>
      </c>
      <c r="F108" s="77">
        <v>1.5873000000000002E-2</v>
      </c>
      <c r="G108" s="36" t="s">
        <v>473</v>
      </c>
    </row>
    <row r="109" spans="1:12" x14ac:dyDescent="0.3">
      <c r="A109" s="9"/>
      <c r="B109" s="9"/>
      <c r="E109" s="9" t="s">
        <v>800</v>
      </c>
      <c r="F109" s="77">
        <v>0.10088</v>
      </c>
      <c r="G109" s="36" t="s">
        <v>473</v>
      </c>
    </row>
    <row r="110" spans="1:12" x14ac:dyDescent="0.3">
      <c r="A110" s="9"/>
      <c r="B110" s="9"/>
      <c r="E110" s="9" t="s">
        <v>801</v>
      </c>
      <c r="F110" s="77">
        <v>0.57150999999999996</v>
      </c>
      <c r="G110" s="36" t="s">
        <v>473</v>
      </c>
    </row>
    <row r="111" spans="1:12" x14ac:dyDescent="0.3">
      <c r="A111" s="9"/>
      <c r="B111" s="9"/>
      <c r="E111" s="9" t="s">
        <v>802</v>
      </c>
      <c r="F111" s="77">
        <v>0.21243999999999999</v>
      </c>
      <c r="G111" s="36" t="s">
        <v>473</v>
      </c>
    </row>
    <row r="112" spans="1:12" ht="1.95" customHeight="1" x14ac:dyDescent="0.3">
      <c r="A112" s="9"/>
      <c r="B112" s="9"/>
      <c r="F112" s="77"/>
    </row>
    <row r="113" spans="1:9" x14ac:dyDescent="0.3">
      <c r="A113" s="9"/>
      <c r="B113" s="9"/>
      <c r="E113" s="9" t="s">
        <v>803</v>
      </c>
      <c r="F113" s="77">
        <v>6.2297000000000002</v>
      </c>
      <c r="G113" s="36" t="s">
        <v>473</v>
      </c>
    </row>
    <row r="114" spans="1:9" x14ac:dyDescent="0.3">
      <c r="A114" s="9"/>
      <c r="B114" s="9"/>
      <c r="E114" s="9" t="s">
        <v>804</v>
      </c>
      <c r="F114" s="77">
        <v>2.3791000000000002</v>
      </c>
      <c r="G114" s="36" t="s">
        <v>473</v>
      </c>
    </row>
    <row r="115" spans="1:9" x14ac:dyDescent="0.3">
      <c r="A115" s="9"/>
      <c r="B115" s="9"/>
      <c r="E115" s="9" t="s">
        <v>805</v>
      </c>
      <c r="F115" s="77">
        <v>5.0013000000000002E-2</v>
      </c>
      <c r="G115" s="36" t="s">
        <v>473</v>
      </c>
    </row>
    <row r="116" spans="1:9" ht="1.95" customHeight="1" x14ac:dyDescent="0.3">
      <c r="A116" s="9"/>
      <c r="B116" s="9"/>
      <c r="F116" s="77"/>
    </row>
    <row r="117" spans="1:9" x14ac:dyDescent="0.3">
      <c r="A117" s="9"/>
      <c r="B117" s="9"/>
      <c r="E117" s="9" t="s">
        <v>806</v>
      </c>
      <c r="F117" s="77">
        <v>1.3717E-2</v>
      </c>
      <c r="G117" s="36" t="s">
        <v>474</v>
      </c>
    </row>
    <row r="118" spans="1:9" ht="1.95" customHeight="1" x14ac:dyDescent="0.3">
      <c r="A118" s="9"/>
      <c r="B118" s="9"/>
      <c r="F118" s="77"/>
    </row>
    <row r="119" spans="1:9" x14ac:dyDescent="0.3">
      <c r="A119" s="9"/>
      <c r="B119" s="9"/>
      <c r="E119" s="9" t="s">
        <v>807</v>
      </c>
      <c r="F119" s="77">
        <v>0.57764000000000004</v>
      </c>
      <c r="G119" s="36" t="s">
        <v>475</v>
      </c>
    </row>
    <row r="121" spans="1:9" x14ac:dyDescent="0.3">
      <c r="A121" s="9"/>
      <c r="B121" s="9"/>
      <c r="D121" s="9" t="s">
        <v>540</v>
      </c>
    </row>
    <row r="122" spans="1:9" ht="15" x14ac:dyDescent="0.35">
      <c r="A122" s="9"/>
      <c r="B122" s="9"/>
      <c r="E122" s="9" t="s">
        <v>808</v>
      </c>
      <c r="F122" s="77">
        <v>1.4347000000000001</v>
      </c>
      <c r="G122" s="36" t="s">
        <v>473</v>
      </c>
      <c r="H122" s="76" t="s">
        <v>485</v>
      </c>
      <c r="I122" s="9" t="s">
        <v>486</v>
      </c>
    </row>
    <row r="123" spans="1:9" x14ac:dyDescent="0.3">
      <c r="A123" s="9"/>
      <c r="B123" s="9"/>
      <c r="E123" s="9" t="s">
        <v>809</v>
      </c>
      <c r="F123" s="77">
        <v>1.7413000000000001E-2</v>
      </c>
      <c r="G123" s="36" t="s">
        <v>473</v>
      </c>
    </row>
    <row r="124" spans="1:9" x14ac:dyDescent="0.3">
      <c r="A124" s="9"/>
      <c r="B124" s="9"/>
      <c r="E124" s="9" t="s">
        <v>810</v>
      </c>
      <c r="F124" s="78">
        <v>2.5543000000000001E-4</v>
      </c>
      <c r="G124" s="36" t="s">
        <v>473</v>
      </c>
    </row>
    <row r="125" spans="1:9" x14ac:dyDescent="0.3">
      <c r="A125" s="9"/>
      <c r="B125" s="9"/>
      <c r="E125" s="9" t="s">
        <v>811</v>
      </c>
      <c r="F125" s="77">
        <v>0.51980999999999999</v>
      </c>
      <c r="G125" s="36" t="s">
        <v>473</v>
      </c>
    </row>
    <row r="126" spans="1:9" x14ac:dyDescent="0.3">
      <c r="A126" s="9"/>
      <c r="B126" s="9"/>
      <c r="E126" s="9" t="s">
        <v>812</v>
      </c>
      <c r="F126" s="77">
        <v>0.25369000000000003</v>
      </c>
      <c r="G126" s="36" t="s">
        <v>473</v>
      </c>
    </row>
    <row r="127" spans="1:9" ht="1.95" customHeight="1" x14ac:dyDescent="0.3">
      <c r="A127" s="9"/>
      <c r="B127" s="9"/>
      <c r="F127" s="77"/>
    </row>
    <row r="128" spans="1:9" x14ac:dyDescent="0.3">
      <c r="A128" s="9"/>
      <c r="B128" s="9"/>
      <c r="E128" s="9" t="s">
        <v>813</v>
      </c>
      <c r="F128" s="77">
        <v>5.1113</v>
      </c>
      <c r="G128" s="36" t="s">
        <v>473</v>
      </c>
    </row>
    <row r="129" spans="1:10" x14ac:dyDescent="0.3">
      <c r="A129" s="9"/>
      <c r="B129" s="9"/>
      <c r="E129" s="9" t="s">
        <v>814</v>
      </c>
      <c r="F129" s="77">
        <v>3.1602999999999999</v>
      </c>
      <c r="G129" s="36" t="s">
        <v>473</v>
      </c>
    </row>
    <row r="130" spans="1:10" x14ac:dyDescent="0.3">
      <c r="A130" s="9"/>
      <c r="B130" s="9"/>
      <c r="E130" s="9" t="s">
        <v>815</v>
      </c>
      <c r="F130" s="78">
        <v>3.7244999999999997E-4</v>
      </c>
      <c r="G130" s="36" t="s">
        <v>473</v>
      </c>
    </row>
    <row r="131" spans="1:10" ht="1.95" customHeight="1" x14ac:dyDescent="0.3">
      <c r="A131" s="9"/>
      <c r="B131" s="9"/>
      <c r="F131" s="77"/>
    </row>
    <row r="132" spans="1:10" x14ac:dyDescent="0.3">
      <c r="A132" s="9"/>
      <c r="B132" s="9"/>
      <c r="E132" s="9" t="s">
        <v>816</v>
      </c>
      <c r="F132" s="78">
        <v>3.5967999999999998E-3</v>
      </c>
      <c r="G132" s="36" t="s">
        <v>474</v>
      </c>
    </row>
    <row r="133" spans="1:10" ht="1.95" customHeight="1" x14ac:dyDescent="0.3">
      <c r="A133" s="9"/>
      <c r="B133" s="9"/>
      <c r="F133" s="77"/>
    </row>
    <row r="134" spans="1:10" x14ac:dyDescent="0.3">
      <c r="A134" s="9"/>
      <c r="B134" s="9"/>
      <c r="E134" s="9" t="s">
        <v>817</v>
      </c>
      <c r="F134" s="77">
        <v>0.40900999999999998</v>
      </c>
      <c r="G134" s="36" t="s">
        <v>475</v>
      </c>
    </row>
    <row r="136" spans="1:10" x14ac:dyDescent="0.3">
      <c r="A136" s="9"/>
      <c r="B136" s="9"/>
      <c r="C136" s="31" t="s">
        <v>29</v>
      </c>
    </row>
    <row r="137" spans="1:10" x14ac:dyDescent="0.3">
      <c r="A137" s="9"/>
      <c r="B137" s="9"/>
      <c r="C137" s="31"/>
      <c r="E137" s="9" t="s">
        <v>857</v>
      </c>
      <c r="F137" s="9">
        <f>1/20</f>
        <v>0.05</v>
      </c>
      <c r="G137" s="36" t="s">
        <v>862</v>
      </c>
      <c r="H137" s="9" t="s">
        <v>858</v>
      </c>
      <c r="J137" s="9" t="s">
        <v>859</v>
      </c>
    </row>
    <row r="138" spans="1:10" x14ac:dyDescent="0.3">
      <c r="A138" s="9"/>
      <c r="B138" s="9"/>
      <c r="C138" s="31"/>
      <c r="E138" s="9" t="s">
        <v>860</v>
      </c>
      <c r="F138" s="9">
        <v>4.1999999999999997E-3</v>
      </c>
      <c r="G138" s="36" t="s">
        <v>861</v>
      </c>
    </row>
    <row r="139" spans="1:10" x14ac:dyDescent="0.3">
      <c r="A139" s="9"/>
      <c r="E139" s="9" t="s">
        <v>31</v>
      </c>
      <c r="F139" s="71">
        <v>10</v>
      </c>
      <c r="G139" s="39" t="s">
        <v>30</v>
      </c>
      <c r="I139" s="9" t="s">
        <v>865</v>
      </c>
    </row>
    <row r="140" spans="1:10" ht="1.95" customHeight="1" x14ac:dyDescent="0.3">
      <c r="A140" s="9"/>
    </row>
    <row r="141" spans="1:10" x14ac:dyDescent="0.3">
      <c r="A141" s="9"/>
      <c r="E141" s="9" t="s">
        <v>768</v>
      </c>
      <c r="F141" s="71">
        <v>5</v>
      </c>
      <c r="G141" s="36" t="s">
        <v>30</v>
      </c>
      <c r="I141" s="9" t="s">
        <v>863</v>
      </c>
      <c r="J141" s="9" t="s">
        <v>864</v>
      </c>
    </row>
    <row r="142" spans="1:10" x14ac:dyDescent="0.3">
      <c r="A142" s="9"/>
      <c r="E142" s="9" t="s">
        <v>769</v>
      </c>
      <c r="F142" s="71">
        <v>10</v>
      </c>
      <c r="G142" s="36" t="s">
        <v>30</v>
      </c>
      <c r="I142" s="9" t="s">
        <v>865</v>
      </c>
    </row>
    <row r="143" spans="1:10" ht="1.95" customHeight="1" x14ac:dyDescent="0.3">
      <c r="A143" s="9"/>
      <c r="F143" s="71"/>
    </row>
    <row r="144" spans="1:10" x14ac:dyDescent="0.3">
      <c r="A144" s="9"/>
      <c r="E144" s="9" t="s">
        <v>775</v>
      </c>
      <c r="F144" s="71">
        <v>2</v>
      </c>
      <c r="G144" s="36" t="s">
        <v>776</v>
      </c>
    </row>
    <row r="146" spans="1:9" x14ac:dyDescent="0.3">
      <c r="A146" s="9"/>
      <c r="D146" s="9" t="s">
        <v>866</v>
      </c>
    </row>
    <row r="147" spans="1:9" x14ac:dyDescent="0.3">
      <c r="A147" s="9"/>
      <c r="E147" s="9" t="s">
        <v>867</v>
      </c>
      <c r="F147" s="9">
        <v>5.1909999999999998</v>
      </c>
      <c r="G147" s="36" t="s">
        <v>473</v>
      </c>
      <c r="H147" s="105" t="s">
        <v>878</v>
      </c>
      <c r="I147" s="9" t="s">
        <v>877</v>
      </c>
    </row>
    <row r="148" spans="1:9" x14ac:dyDescent="0.3">
      <c r="A148" s="9"/>
      <c r="E148" s="9" t="s">
        <v>868</v>
      </c>
      <c r="F148" s="9">
        <v>0.35520000000000002</v>
      </c>
      <c r="G148" s="36" t="s">
        <v>473</v>
      </c>
    </row>
    <row r="149" spans="1:9" x14ac:dyDescent="0.3">
      <c r="A149" s="9"/>
      <c r="E149" s="9" t="s">
        <v>869</v>
      </c>
      <c r="F149" s="9">
        <v>1.3243E-2</v>
      </c>
      <c r="G149" s="36" t="s">
        <v>473</v>
      </c>
    </row>
    <row r="150" spans="1:9" x14ac:dyDescent="0.3">
      <c r="A150" s="9"/>
      <c r="E150" s="9" t="s">
        <v>870</v>
      </c>
      <c r="F150" s="9">
        <v>9.6800999999999995</v>
      </c>
      <c r="G150" s="36" t="s">
        <v>473</v>
      </c>
    </row>
    <row r="151" spans="1:9" x14ac:dyDescent="0.3">
      <c r="A151" s="9"/>
      <c r="E151" s="9" t="s">
        <v>871</v>
      </c>
      <c r="F151" s="9">
        <v>2.9108999999999998</v>
      </c>
      <c r="G151" s="36" t="s">
        <v>473</v>
      </c>
    </row>
    <row r="152" spans="1:9" ht="1.95" customHeight="1" x14ac:dyDescent="0.3"/>
    <row r="153" spans="1:9" x14ac:dyDescent="0.3">
      <c r="E153" s="9" t="s">
        <v>872</v>
      </c>
      <c r="F153" s="9">
        <v>221.14</v>
      </c>
      <c r="G153" s="36" t="s">
        <v>473</v>
      </c>
    </row>
    <row r="154" spans="1:9" x14ac:dyDescent="0.3">
      <c r="E154" s="9" t="s">
        <v>873</v>
      </c>
      <c r="F154" s="9">
        <v>30.204000000000001</v>
      </c>
      <c r="G154" s="36" t="s">
        <v>473</v>
      </c>
    </row>
    <row r="155" spans="1:9" x14ac:dyDescent="0.3">
      <c r="E155" s="9" t="s">
        <v>874</v>
      </c>
      <c r="F155" s="9">
        <v>1.0288E-2</v>
      </c>
      <c r="G155" s="36" t="s">
        <v>473</v>
      </c>
    </row>
    <row r="156" spans="1:9" ht="1.95" customHeight="1" x14ac:dyDescent="0.3"/>
    <row r="157" spans="1:9" x14ac:dyDescent="0.3">
      <c r="E157" s="9" t="s">
        <v>875</v>
      </c>
      <c r="F157" s="9">
        <v>9.5403000000000002E-2</v>
      </c>
      <c r="G157" s="36" t="s">
        <v>474</v>
      </c>
    </row>
    <row r="158" spans="1:9" ht="1.95" customHeight="1" x14ac:dyDescent="0.3"/>
    <row r="159" spans="1:9" x14ac:dyDescent="0.3">
      <c r="E159" s="9" t="s">
        <v>876</v>
      </c>
      <c r="F159" s="9">
        <v>19.242000000000001</v>
      </c>
      <c r="G159" s="36" t="s">
        <v>475</v>
      </c>
    </row>
    <row r="161" spans="1:12" s="7" customFormat="1" x14ac:dyDescent="0.3">
      <c r="A161" s="6" t="s">
        <v>820</v>
      </c>
      <c r="B161" s="30"/>
      <c r="G161" s="37"/>
      <c r="L161" s="37"/>
    </row>
    <row r="162" spans="1:12" s="71" customFormat="1" x14ac:dyDescent="0.3">
      <c r="A162" s="69"/>
      <c r="B162" s="70"/>
      <c r="G162" s="72"/>
      <c r="L162" s="72"/>
    </row>
    <row r="163" spans="1:12" x14ac:dyDescent="0.3">
      <c r="E163" s="9" t="s">
        <v>894</v>
      </c>
      <c r="F163" s="9">
        <v>13</v>
      </c>
      <c r="G163" s="36" t="s">
        <v>895</v>
      </c>
      <c r="H163" s="9" t="s">
        <v>893</v>
      </c>
      <c r="I163" s="9" t="s">
        <v>892</v>
      </c>
    </row>
    <row r="164" spans="1:12" x14ac:dyDescent="0.3">
      <c r="E164" s="9" t="s">
        <v>1620</v>
      </c>
      <c r="F164" s="9">
        <v>26</v>
      </c>
      <c r="G164" s="36" t="s">
        <v>895</v>
      </c>
      <c r="H164" s="9" t="s">
        <v>1621</v>
      </c>
    </row>
    <row r="166" spans="1:12" x14ac:dyDescent="0.3">
      <c r="E166" s="9" t="s">
        <v>879</v>
      </c>
      <c r="F166" s="9">
        <v>6.9103000000000003E-3</v>
      </c>
      <c r="G166" s="36" t="s">
        <v>889</v>
      </c>
      <c r="H166" s="9" t="s">
        <v>897</v>
      </c>
      <c r="I166" s="9" t="s">
        <v>896</v>
      </c>
      <c r="J166" s="9" t="s">
        <v>898</v>
      </c>
    </row>
    <row r="167" spans="1:12" x14ac:dyDescent="0.3">
      <c r="E167" s="9" t="s">
        <v>880</v>
      </c>
      <c r="F167" s="9">
        <v>5.9407000000000004E-4</v>
      </c>
      <c r="G167" s="36" t="s">
        <v>889</v>
      </c>
    </row>
    <row r="168" spans="1:12" x14ac:dyDescent="0.3">
      <c r="E168" s="9" t="s">
        <v>881</v>
      </c>
      <c r="F168" s="9">
        <v>1.7930000000000001E-3</v>
      </c>
      <c r="G168" s="36" t="s">
        <v>889</v>
      </c>
    </row>
    <row r="169" spans="1:12" x14ac:dyDescent="0.3">
      <c r="E169" s="9" t="s">
        <v>882</v>
      </c>
      <c r="F169" s="9">
        <v>1.7895999999999999E-2</v>
      </c>
      <c r="G169" s="36" t="s">
        <v>889</v>
      </c>
    </row>
    <row r="170" spans="1:12" x14ac:dyDescent="0.3">
      <c r="E170" s="9" t="s">
        <v>883</v>
      </c>
      <c r="F170" s="9">
        <v>4.5989999999999998E-3</v>
      </c>
      <c r="G170" s="36" t="s">
        <v>889</v>
      </c>
    </row>
    <row r="171" spans="1:12" ht="1.95" customHeight="1" x14ac:dyDescent="0.3"/>
    <row r="172" spans="1:12" x14ac:dyDescent="0.3">
      <c r="E172" s="9" t="s">
        <v>884</v>
      </c>
      <c r="F172" s="9">
        <v>0.22800999999999999</v>
      </c>
      <c r="G172" s="36" t="s">
        <v>889</v>
      </c>
    </row>
    <row r="173" spans="1:12" x14ac:dyDescent="0.3">
      <c r="E173" s="9" t="s">
        <v>885</v>
      </c>
      <c r="F173" s="9">
        <v>4.5830999999999997E-2</v>
      </c>
      <c r="G173" s="36" t="s">
        <v>889</v>
      </c>
    </row>
    <row r="174" spans="1:12" x14ac:dyDescent="0.3">
      <c r="E174" s="9" t="s">
        <v>886</v>
      </c>
      <c r="F174" s="9">
        <v>2.7256000000000001E-5</v>
      </c>
      <c r="G174" s="36" t="s">
        <v>889</v>
      </c>
    </row>
    <row r="175" spans="1:12" ht="1.95" customHeight="1" x14ac:dyDescent="0.3"/>
    <row r="176" spans="1:12" x14ac:dyDescent="0.3">
      <c r="E176" s="9" t="s">
        <v>887</v>
      </c>
      <c r="F176" s="9">
        <v>2.2573999999999999E-4</v>
      </c>
      <c r="G176" s="36" t="s">
        <v>890</v>
      </c>
    </row>
    <row r="177" spans="1:12" ht="1.95" customHeight="1" x14ac:dyDescent="0.3"/>
    <row r="178" spans="1:12" x14ac:dyDescent="0.3">
      <c r="E178" s="9" t="s">
        <v>888</v>
      </c>
      <c r="F178" s="9">
        <v>1.8769000000000001E-2</v>
      </c>
      <c r="G178" s="36" t="s">
        <v>891</v>
      </c>
    </row>
    <row r="180" spans="1:12" s="7" customFormat="1" x14ac:dyDescent="0.3">
      <c r="A180" s="6" t="s">
        <v>11</v>
      </c>
      <c r="B180" s="30"/>
      <c r="G180" s="37"/>
      <c r="L180" s="37"/>
    </row>
    <row r="182" spans="1:12" x14ac:dyDescent="0.3">
      <c r="E182" s="9" t="s">
        <v>964</v>
      </c>
      <c r="F182" s="9">
        <v>203</v>
      </c>
      <c r="G182" s="36" t="s">
        <v>12</v>
      </c>
      <c r="H182" s="9" t="s">
        <v>663</v>
      </c>
      <c r="J182" s="9" t="s">
        <v>967</v>
      </c>
    </row>
    <row r="183" spans="1:12" x14ac:dyDescent="0.3">
      <c r="E183" s="9" t="s">
        <v>965</v>
      </c>
      <c r="F183" s="9">
        <v>96</v>
      </c>
      <c r="G183" s="36" t="s">
        <v>12</v>
      </c>
      <c r="H183" s="9" t="s">
        <v>663</v>
      </c>
      <c r="J183" s="9" t="s">
        <v>967</v>
      </c>
    </row>
    <row r="184" spans="1:12" x14ac:dyDescent="0.3">
      <c r="E184" s="9" t="s">
        <v>966</v>
      </c>
      <c r="F184" s="9">
        <v>52</v>
      </c>
      <c r="G184" s="36" t="s">
        <v>12</v>
      </c>
      <c r="H184" s="9" t="s">
        <v>663</v>
      </c>
      <c r="J184" s="9" t="s">
        <v>967</v>
      </c>
    </row>
    <row r="186" spans="1:12" x14ac:dyDescent="0.3">
      <c r="A186" s="9"/>
      <c r="E186" s="9" t="s">
        <v>1566</v>
      </c>
      <c r="F186" s="9">
        <v>50</v>
      </c>
      <c r="G186" s="36" t="s">
        <v>12</v>
      </c>
      <c r="H186" s="9" t="s">
        <v>663</v>
      </c>
      <c r="J186" s="9" t="s">
        <v>968</v>
      </c>
    </row>
    <row r="188" spans="1:12" x14ac:dyDescent="0.3">
      <c r="A188" s="9"/>
      <c r="E188" s="9" t="s">
        <v>664</v>
      </c>
      <c r="F188" s="92">
        <v>0.2</v>
      </c>
      <c r="G188" s="36" t="s">
        <v>9</v>
      </c>
      <c r="H188" s="9" t="s">
        <v>777</v>
      </c>
      <c r="J188" s="71"/>
      <c r="L188" s="36" t="s">
        <v>414</v>
      </c>
    </row>
    <row r="189" spans="1:12" x14ac:dyDescent="0.3">
      <c r="A189" s="9"/>
      <c r="E189" s="9" t="s">
        <v>666</v>
      </c>
      <c r="F189" s="92">
        <v>0.5</v>
      </c>
      <c r="G189" s="36" t="s">
        <v>9</v>
      </c>
      <c r="H189" s="9" t="s">
        <v>777</v>
      </c>
      <c r="J189" s="71"/>
      <c r="L189" s="36" t="s">
        <v>414</v>
      </c>
    </row>
    <row r="190" spans="1:12" x14ac:dyDescent="0.3">
      <c r="A190" s="9"/>
      <c r="E190" s="9" t="s">
        <v>665</v>
      </c>
      <c r="F190" s="92">
        <v>0.3</v>
      </c>
      <c r="G190" s="36" t="s">
        <v>9</v>
      </c>
      <c r="H190" s="9" t="s">
        <v>777</v>
      </c>
      <c r="J190" s="71"/>
      <c r="L190" s="36" t="s">
        <v>414</v>
      </c>
    </row>
    <row r="192" spans="1:12" x14ac:dyDescent="0.3">
      <c r="A192" s="9"/>
      <c r="B192" s="31" t="s">
        <v>32</v>
      </c>
    </row>
    <row r="193" spans="1:10" x14ac:dyDescent="0.3">
      <c r="A193" s="9"/>
      <c r="E193" s="9" t="s">
        <v>650</v>
      </c>
      <c r="F193" s="9" t="s">
        <v>649</v>
      </c>
      <c r="J193" s="9" t="s">
        <v>647</v>
      </c>
    </row>
    <row r="194" spans="1:10" x14ac:dyDescent="0.3">
      <c r="A194" s="9"/>
      <c r="E194" s="9" t="s">
        <v>643</v>
      </c>
      <c r="J194" s="9" t="s">
        <v>648</v>
      </c>
    </row>
    <row r="195" spans="1:10" x14ac:dyDescent="0.3">
      <c r="A195" s="9"/>
      <c r="E195" s="9" t="s">
        <v>644</v>
      </c>
      <c r="J195" s="9" t="s">
        <v>648</v>
      </c>
    </row>
    <row r="197" spans="1:10" x14ac:dyDescent="0.3">
      <c r="A197" s="9"/>
      <c r="C197" s="9" t="s">
        <v>1129</v>
      </c>
    </row>
    <row r="198" spans="1:10" x14ac:dyDescent="0.3">
      <c r="A198" s="9"/>
      <c r="E198" s="9" t="s">
        <v>651</v>
      </c>
      <c r="F198" s="77">
        <v>1.3207E-2</v>
      </c>
      <c r="G198" s="36" t="s">
        <v>668</v>
      </c>
    </row>
    <row r="199" spans="1:10" x14ac:dyDescent="0.3">
      <c r="A199" s="9"/>
      <c r="B199" s="9"/>
      <c r="E199" s="9" t="s">
        <v>652</v>
      </c>
      <c r="F199" s="77">
        <v>4.6069999999999998E-4</v>
      </c>
      <c r="G199" s="36" t="s">
        <v>668</v>
      </c>
    </row>
    <row r="200" spans="1:10" x14ac:dyDescent="0.3">
      <c r="A200" s="9"/>
      <c r="B200" s="9"/>
      <c r="E200" s="9" t="s">
        <v>653</v>
      </c>
      <c r="F200" s="77">
        <v>3.5680999999999999E-4</v>
      </c>
      <c r="G200" s="36" t="s">
        <v>668</v>
      </c>
    </row>
    <row r="201" spans="1:10" x14ac:dyDescent="0.3">
      <c r="A201" s="9"/>
      <c r="B201" s="9"/>
      <c r="E201" s="9" t="s">
        <v>654</v>
      </c>
      <c r="F201" s="77">
        <v>1.9185000000000001E-2</v>
      </c>
      <c r="G201" s="36" t="s">
        <v>668</v>
      </c>
    </row>
    <row r="202" spans="1:10" x14ac:dyDescent="0.3">
      <c r="A202" s="9"/>
      <c r="B202" s="9"/>
      <c r="E202" s="9" t="s">
        <v>655</v>
      </c>
      <c r="F202" s="77">
        <v>4.4689999999999999E-3</v>
      </c>
      <c r="G202" s="36" t="s">
        <v>668</v>
      </c>
    </row>
    <row r="203" spans="1:10" ht="1.95" customHeight="1" x14ac:dyDescent="0.3">
      <c r="A203" s="9"/>
      <c r="B203" s="9"/>
      <c r="F203" s="77"/>
    </row>
    <row r="204" spans="1:10" x14ac:dyDescent="0.3">
      <c r="A204" s="9"/>
      <c r="B204" s="9"/>
      <c r="E204" s="9" t="s">
        <v>656</v>
      </c>
      <c r="F204" s="77">
        <v>2.5663999999999998</v>
      </c>
      <c r="G204" s="36" t="s">
        <v>668</v>
      </c>
    </row>
    <row r="205" spans="1:10" x14ac:dyDescent="0.3">
      <c r="A205" s="9"/>
      <c r="B205" s="9"/>
      <c r="E205" s="9" t="s">
        <v>657</v>
      </c>
      <c r="F205" s="77">
        <v>5.3193999999999998E-2</v>
      </c>
      <c r="G205" s="36" t="s">
        <v>668</v>
      </c>
    </row>
    <row r="206" spans="1:10" x14ac:dyDescent="0.3">
      <c r="A206" s="9"/>
      <c r="B206" s="9"/>
      <c r="E206" s="9" t="s">
        <v>658</v>
      </c>
      <c r="F206" s="77">
        <v>6.9455000000000005E-5</v>
      </c>
      <c r="G206" s="36" t="s">
        <v>668</v>
      </c>
    </row>
    <row r="207" spans="1:10" ht="1.95" customHeight="1" x14ac:dyDescent="0.3">
      <c r="A207" s="9"/>
      <c r="B207" s="9"/>
      <c r="F207" s="77"/>
    </row>
    <row r="208" spans="1:10" x14ac:dyDescent="0.3">
      <c r="A208" s="9"/>
      <c r="B208" s="9"/>
      <c r="E208" s="9" t="s">
        <v>659</v>
      </c>
      <c r="F208" s="77">
        <v>5.0038000000000003E-4</v>
      </c>
      <c r="G208" s="36" t="s">
        <v>669</v>
      </c>
    </row>
    <row r="209" spans="1:13" ht="1.95" customHeight="1" x14ac:dyDescent="0.3">
      <c r="A209" s="9"/>
      <c r="B209" s="9"/>
      <c r="F209" s="77"/>
    </row>
    <row r="210" spans="1:13" x14ac:dyDescent="0.3">
      <c r="A210" s="9"/>
      <c r="B210" s="9"/>
      <c r="E210" s="9" t="s">
        <v>660</v>
      </c>
      <c r="F210" s="77">
        <v>0.16392999999999999</v>
      </c>
      <c r="G210" s="36" t="s">
        <v>33</v>
      </c>
    </row>
    <row r="212" spans="1:13" x14ac:dyDescent="0.3">
      <c r="A212" s="9"/>
      <c r="B212" s="9"/>
      <c r="C212" s="9" t="s">
        <v>678</v>
      </c>
    </row>
    <row r="213" spans="1:13" x14ac:dyDescent="0.3">
      <c r="A213" s="9"/>
      <c r="B213" s="9"/>
      <c r="E213" s="9" t="s">
        <v>821</v>
      </c>
      <c r="F213" s="102">
        <v>0.87</v>
      </c>
      <c r="G213" s="36" t="s">
        <v>9</v>
      </c>
      <c r="H213" s="9" t="s">
        <v>1162</v>
      </c>
      <c r="J213" s="9" t="s">
        <v>823</v>
      </c>
    </row>
    <row r="214" spans="1:13" x14ac:dyDescent="0.3">
      <c r="A214" s="9"/>
      <c r="B214" s="9"/>
      <c r="E214" s="9" t="s">
        <v>822</v>
      </c>
      <c r="F214" s="102">
        <v>0.13</v>
      </c>
      <c r="G214" s="36" t="s">
        <v>9</v>
      </c>
      <c r="H214" s="9" t="s">
        <v>1162</v>
      </c>
    </row>
    <row r="216" spans="1:13" x14ac:dyDescent="0.3">
      <c r="A216" s="9"/>
      <c r="B216" s="9"/>
      <c r="E216" s="9" t="s">
        <v>827</v>
      </c>
      <c r="F216" s="104">
        <v>1.3242E-2</v>
      </c>
      <c r="G216" s="36" t="s">
        <v>668</v>
      </c>
      <c r="I216" s="103" t="s">
        <v>825</v>
      </c>
      <c r="M216" s="103"/>
    </row>
    <row r="217" spans="1:13" x14ac:dyDescent="0.3">
      <c r="A217" s="9"/>
      <c r="B217" s="9"/>
      <c r="E217" s="9" t="s">
        <v>828</v>
      </c>
      <c r="F217" s="104">
        <v>4.6232000000000001E-4</v>
      </c>
      <c r="G217" s="36" t="s">
        <v>668</v>
      </c>
    </row>
    <row r="218" spans="1:13" x14ac:dyDescent="0.3">
      <c r="A218" s="9"/>
      <c r="B218" s="9"/>
      <c r="E218" s="9" t="s">
        <v>829</v>
      </c>
      <c r="F218" s="104">
        <v>3.5806999999999999E-4</v>
      </c>
      <c r="G218" s="36" t="s">
        <v>668</v>
      </c>
    </row>
    <row r="219" spans="1:13" x14ac:dyDescent="0.3">
      <c r="A219" s="9"/>
      <c r="B219" s="9"/>
      <c r="E219" s="9" t="s">
        <v>830</v>
      </c>
      <c r="F219" s="104">
        <v>1.9251999999999998E-2</v>
      </c>
      <c r="G219" s="36" t="s">
        <v>668</v>
      </c>
    </row>
    <row r="220" spans="1:13" x14ac:dyDescent="0.3">
      <c r="A220" s="9"/>
      <c r="B220" s="9"/>
      <c r="E220" s="9" t="s">
        <v>831</v>
      </c>
      <c r="F220" s="104">
        <v>4.4833E-3</v>
      </c>
      <c r="G220" s="36" t="s">
        <v>668</v>
      </c>
    </row>
    <row r="221" spans="1:13" ht="1.95" customHeight="1" x14ac:dyDescent="0.3">
      <c r="A221" s="9"/>
      <c r="B221" s="9"/>
      <c r="F221" s="104"/>
    </row>
    <row r="222" spans="1:13" x14ac:dyDescent="0.3">
      <c r="A222" s="9"/>
      <c r="B222" s="9"/>
      <c r="E222" s="9" t="s">
        <v>832</v>
      </c>
      <c r="F222" s="104">
        <v>2.6126</v>
      </c>
      <c r="G222" s="36" t="s">
        <v>668</v>
      </c>
    </row>
    <row r="223" spans="1:13" x14ac:dyDescent="0.3">
      <c r="A223" s="9"/>
      <c r="B223" s="9"/>
      <c r="E223" s="9" t="s">
        <v>833</v>
      </c>
      <c r="F223" s="104">
        <v>5.3363000000000001E-2</v>
      </c>
      <c r="G223" s="36" t="s">
        <v>668</v>
      </c>
    </row>
    <row r="224" spans="1:13" x14ac:dyDescent="0.3">
      <c r="A224" s="9"/>
      <c r="B224" s="9"/>
      <c r="E224" s="9" t="s">
        <v>834</v>
      </c>
      <c r="F224" s="104">
        <v>6.9583000000000001E-5</v>
      </c>
      <c r="G224" s="36" t="s">
        <v>668</v>
      </c>
    </row>
    <row r="225" spans="1:13" ht="1.95" customHeight="1" x14ac:dyDescent="0.3">
      <c r="A225" s="9"/>
      <c r="B225" s="9"/>
      <c r="F225" s="104"/>
    </row>
    <row r="226" spans="1:13" x14ac:dyDescent="0.3">
      <c r="A226" s="9"/>
      <c r="B226" s="9"/>
      <c r="E226" s="9" t="s">
        <v>835</v>
      </c>
      <c r="F226" s="104">
        <v>5.0416000000000002E-4</v>
      </c>
      <c r="G226" s="36" t="s">
        <v>669</v>
      </c>
    </row>
    <row r="227" spans="1:13" ht="1.95" customHeight="1" x14ac:dyDescent="0.3">
      <c r="A227" s="9"/>
      <c r="B227" s="9"/>
      <c r="F227" s="104"/>
    </row>
    <row r="228" spans="1:13" x14ac:dyDescent="0.3">
      <c r="A228" s="9"/>
      <c r="B228" s="9"/>
      <c r="E228" s="9" t="s">
        <v>836</v>
      </c>
      <c r="F228" s="104">
        <v>0.16743</v>
      </c>
      <c r="G228" s="36" t="s">
        <v>33</v>
      </c>
    </row>
    <row r="230" spans="1:13" x14ac:dyDescent="0.3">
      <c r="A230" s="9"/>
      <c r="B230" s="9"/>
      <c r="E230" s="9" t="s">
        <v>837</v>
      </c>
      <c r="F230" s="104">
        <v>2.1229999999999999E-2</v>
      </c>
      <c r="G230" s="36" t="s">
        <v>668</v>
      </c>
      <c r="I230" s="103" t="s">
        <v>826</v>
      </c>
      <c r="M230" s="103"/>
    </row>
    <row r="231" spans="1:13" x14ac:dyDescent="0.3">
      <c r="A231" s="9"/>
      <c r="B231" s="9"/>
      <c r="E231" s="9" t="s">
        <v>838</v>
      </c>
      <c r="F231" s="104">
        <v>6.6469000000000001E-4</v>
      </c>
      <c r="G231" s="36" t="s">
        <v>668</v>
      </c>
    </row>
    <row r="232" spans="1:13" x14ac:dyDescent="0.3">
      <c r="A232" s="9"/>
      <c r="B232" s="9"/>
      <c r="E232" s="9" t="s">
        <v>839</v>
      </c>
      <c r="F232" s="104">
        <v>5.9491999999999998E-4</v>
      </c>
      <c r="G232" s="36" t="s">
        <v>668</v>
      </c>
    </row>
    <row r="233" spans="1:13" x14ac:dyDescent="0.3">
      <c r="A233" s="9"/>
      <c r="B233" s="9"/>
      <c r="E233" s="9" t="s">
        <v>840</v>
      </c>
      <c r="F233" s="104">
        <v>2.8955000000000002E-2</v>
      </c>
      <c r="G233" s="36" t="s">
        <v>668</v>
      </c>
    </row>
    <row r="234" spans="1:13" x14ac:dyDescent="0.3">
      <c r="A234" s="9"/>
      <c r="B234" s="9"/>
      <c r="E234" s="9" t="s">
        <v>841</v>
      </c>
      <c r="F234" s="104">
        <v>6.7790999999999997E-3</v>
      </c>
      <c r="G234" s="36" t="s">
        <v>668</v>
      </c>
    </row>
    <row r="235" spans="1:13" ht="1.95" customHeight="1" x14ac:dyDescent="0.3">
      <c r="A235" s="9"/>
      <c r="B235" s="9"/>
      <c r="F235" s="104"/>
    </row>
    <row r="236" spans="1:13" x14ac:dyDescent="0.3">
      <c r="A236" s="9"/>
      <c r="B236" s="9"/>
      <c r="E236" s="9" t="s">
        <v>842</v>
      </c>
      <c r="F236" s="104">
        <v>3.3153000000000001</v>
      </c>
      <c r="G236" s="36" t="s">
        <v>668</v>
      </c>
    </row>
    <row r="237" spans="1:13" x14ac:dyDescent="0.3">
      <c r="A237" s="9"/>
      <c r="B237" s="9"/>
      <c r="E237" s="9" t="s">
        <v>843</v>
      </c>
      <c r="F237" s="104">
        <v>8.1673999999999997E-2</v>
      </c>
      <c r="G237" s="36" t="s">
        <v>668</v>
      </c>
    </row>
    <row r="238" spans="1:13" x14ac:dyDescent="0.3">
      <c r="A238" s="9"/>
      <c r="B238" s="9"/>
      <c r="E238" s="9" t="s">
        <v>844</v>
      </c>
      <c r="F238" s="104">
        <v>1.1402E-4</v>
      </c>
      <c r="G238" s="36" t="s">
        <v>668</v>
      </c>
    </row>
    <row r="239" spans="1:13" ht="1.95" customHeight="1" x14ac:dyDescent="0.3">
      <c r="A239" s="9"/>
      <c r="B239" s="9"/>
      <c r="F239" s="104"/>
    </row>
    <row r="240" spans="1:13" x14ac:dyDescent="0.3">
      <c r="A240" s="9"/>
      <c r="B240" s="9"/>
      <c r="E240" s="9" t="s">
        <v>845</v>
      </c>
      <c r="F240" s="104">
        <v>6.6120000000000003E-4</v>
      </c>
      <c r="G240" s="36" t="s">
        <v>669</v>
      </c>
    </row>
    <row r="241" spans="1:13" ht="1.95" customHeight="1" x14ac:dyDescent="0.3">
      <c r="A241" s="9"/>
      <c r="B241" s="9"/>
      <c r="F241" s="104"/>
    </row>
    <row r="242" spans="1:13" x14ac:dyDescent="0.3">
      <c r="A242" s="9"/>
      <c r="B242" s="9"/>
      <c r="E242" s="9" t="s">
        <v>846</v>
      </c>
      <c r="F242" s="104">
        <v>0.21647</v>
      </c>
      <c r="G242" s="36" t="s">
        <v>33</v>
      </c>
    </row>
    <row r="243" spans="1:13" x14ac:dyDescent="0.3">
      <c r="A243" s="9"/>
      <c r="B243" s="9"/>
      <c r="F243" s="104"/>
    </row>
    <row r="244" spans="1:13" x14ac:dyDescent="0.3">
      <c r="A244" s="9"/>
      <c r="B244" s="9"/>
      <c r="C244" s="9" t="s">
        <v>679</v>
      </c>
      <c r="F244" s="104"/>
      <c r="I244" s="103" t="s">
        <v>824</v>
      </c>
      <c r="M244" s="103"/>
    </row>
    <row r="245" spans="1:13" x14ac:dyDescent="0.3">
      <c r="A245" s="9"/>
      <c r="B245" s="9"/>
      <c r="E245" s="9" t="s">
        <v>847</v>
      </c>
      <c r="F245" s="104">
        <v>0.2263</v>
      </c>
      <c r="G245" s="36" t="s">
        <v>668</v>
      </c>
    </row>
    <row r="246" spans="1:13" x14ac:dyDescent="0.3">
      <c r="A246" s="9"/>
      <c r="B246" s="9"/>
      <c r="E246" s="9" t="s">
        <v>848</v>
      </c>
      <c r="F246" s="104">
        <v>1.0767000000000001E-2</v>
      </c>
      <c r="G246" s="36" t="s">
        <v>668</v>
      </c>
    </row>
    <row r="247" spans="1:13" x14ac:dyDescent="0.3">
      <c r="A247" s="9"/>
      <c r="B247" s="9"/>
      <c r="E247" s="9" t="s">
        <v>849</v>
      </c>
      <c r="F247" s="104">
        <v>4.0924000000000002E-2</v>
      </c>
      <c r="G247" s="36" t="s">
        <v>668</v>
      </c>
    </row>
    <row r="248" spans="1:13" x14ac:dyDescent="0.3">
      <c r="A248" s="9"/>
      <c r="B248" s="9"/>
      <c r="E248" s="9" t="s">
        <v>850</v>
      </c>
      <c r="F248" s="104">
        <v>0.39716000000000001</v>
      </c>
      <c r="G248" s="36" t="s">
        <v>668</v>
      </c>
    </row>
    <row r="249" spans="1:13" x14ac:dyDescent="0.3">
      <c r="A249" s="9"/>
      <c r="B249" s="9"/>
      <c r="E249" s="9" t="s">
        <v>851</v>
      </c>
      <c r="F249" s="104">
        <v>0.12751999999999999</v>
      </c>
      <c r="G249" s="36" t="s">
        <v>668</v>
      </c>
    </row>
    <row r="250" spans="1:13" ht="1.95" customHeight="1" x14ac:dyDescent="0.3">
      <c r="A250" s="9"/>
      <c r="B250" s="9"/>
      <c r="F250" s="104"/>
    </row>
    <row r="251" spans="1:13" x14ac:dyDescent="0.3">
      <c r="E251" s="9" t="s">
        <v>852</v>
      </c>
      <c r="F251" s="78">
        <v>28.030999999999999</v>
      </c>
      <c r="G251" s="36" t="s">
        <v>668</v>
      </c>
    </row>
    <row r="252" spans="1:13" x14ac:dyDescent="0.3">
      <c r="E252" s="9" t="s">
        <v>853</v>
      </c>
      <c r="F252" s="104">
        <v>1.4738</v>
      </c>
      <c r="G252" s="36" t="s">
        <v>668</v>
      </c>
    </row>
    <row r="253" spans="1:13" x14ac:dyDescent="0.3">
      <c r="E253" s="9" t="s">
        <v>854</v>
      </c>
      <c r="F253" s="104">
        <v>1.4758E-3</v>
      </c>
      <c r="G253" s="36" t="s">
        <v>668</v>
      </c>
    </row>
    <row r="254" spans="1:13" ht="1.95" customHeight="1" x14ac:dyDescent="0.3">
      <c r="F254" s="104"/>
    </row>
    <row r="255" spans="1:13" x14ac:dyDescent="0.3">
      <c r="E255" s="9" t="s">
        <v>855</v>
      </c>
      <c r="F255" s="104">
        <v>6.0022000000000001E-3</v>
      </c>
      <c r="G255" s="36" t="s">
        <v>669</v>
      </c>
    </row>
    <row r="256" spans="1:13" ht="1.95" customHeight="1" x14ac:dyDescent="0.3">
      <c r="F256" s="104"/>
    </row>
    <row r="257" spans="1:12" x14ac:dyDescent="0.3">
      <c r="E257" s="9" t="s">
        <v>856</v>
      </c>
      <c r="F257" s="104">
        <v>1.9014</v>
      </c>
      <c r="G257" s="36" t="s">
        <v>33</v>
      </c>
    </row>
    <row r="258" spans="1:12" x14ac:dyDescent="0.3">
      <c r="F258" s="104"/>
    </row>
    <row r="259" spans="1:12" s="7" customFormat="1" x14ac:dyDescent="0.3">
      <c r="A259" s="6" t="s">
        <v>17</v>
      </c>
      <c r="B259" s="30"/>
      <c r="G259" s="37"/>
      <c r="L259" s="37"/>
    </row>
    <row r="261" spans="1:12" x14ac:dyDescent="0.3">
      <c r="E261" s="32" t="str">
        <f xml:space="preserve"> Dashboard!D$44</f>
        <v>Scheidingspercentage papier</v>
      </c>
      <c r="F261" s="33">
        <f xml:space="preserve"> Dashboard!F$44</f>
        <v>0.65</v>
      </c>
      <c r="G261" s="38">
        <f xml:space="preserve"> Dashboard!K$44</f>
        <v>0</v>
      </c>
    </row>
    <row r="262" spans="1:12" x14ac:dyDescent="0.3">
      <c r="E262" s="32" t="str">
        <f xml:space="preserve"> Dashboard!D$45</f>
        <v>Scheidingspercentage plastic</v>
      </c>
      <c r="F262" s="33">
        <f xml:space="preserve"> Dashboard!F$45</f>
        <v>0.6</v>
      </c>
      <c r="G262" s="38">
        <f xml:space="preserve"> Dashboard!K$45</f>
        <v>0</v>
      </c>
    </row>
    <row r="264" spans="1:12" x14ac:dyDescent="0.3">
      <c r="E264" s="9" t="s">
        <v>1041</v>
      </c>
      <c r="F264" s="215">
        <v>0.05</v>
      </c>
      <c r="G264" s="36" t="s">
        <v>9</v>
      </c>
      <c r="H264" s="9" t="s">
        <v>1599</v>
      </c>
    </row>
    <row r="265" spans="1:12" x14ac:dyDescent="0.3">
      <c r="E265" s="9" t="s">
        <v>1625</v>
      </c>
      <c r="F265" s="136">
        <v>0.05</v>
      </c>
      <c r="G265" s="36" t="s">
        <v>9</v>
      </c>
    </row>
    <row r="267" spans="1:12" x14ac:dyDescent="0.3">
      <c r="A267" s="9"/>
      <c r="B267" s="9"/>
      <c r="C267" s="9" t="s">
        <v>503</v>
      </c>
    </row>
    <row r="268" spans="1:12" x14ac:dyDescent="0.3">
      <c r="A268" s="9"/>
      <c r="B268" s="9"/>
      <c r="D268" s="9" t="s">
        <v>497</v>
      </c>
    </row>
    <row r="269" spans="1:12" ht="15" x14ac:dyDescent="0.35">
      <c r="A269" s="9"/>
      <c r="B269" s="9"/>
      <c r="E269" s="9" t="s">
        <v>778</v>
      </c>
      <c r="F269" s="71">
        <v>11.555</v>
      </c>
      <c r="G269" s="36" t="s">
        <v>473</v>
      </c>
      <c r="H269" s="143" t="s">
        <v>553</v>
      </c>
      <c r="I269" s="9" t="s">
        <v>551</v>
      </c>
    </row>
    <row r="270" spans="1:12" x14ac:dyDescent="0.3">
      <c r="A270" s="9"/>
      <c r="B270" s="9"/>
      <c r="E270" s="9" t="s">
        <v>779</v>
      </c>
      <c r="F270" s="71">
        <v>4.3588000000000002E-2</v>
      </c>
      <c r="G270" s="36" t="s">
        <v>473</v>
      </c>
    </row>
    <row r="271" spans="1:12" x14ac:dyDescent="0.3">
      <c r="A271" s="9"/>
      <c r="B271" s="9"/>
      <c r="E271" s="9" t="s">
        <v>780</v>
      </c>
      <c r="F271" s="71">
        <v>2.9163000000000003E-4</v>
      </c>
      <c r="G271" s="36" t="s">
        <v>473</v>
      </c>
    </row>
    <row r="272" spans="1:12" x14ac:dyDescent="0.3">
      <c r="A272" s="9"/>
      <c r="B272" s="9"/>
      <c r="E272" s="9" t="s">
        <v>781</v>
      </c>
      <c r="F272" s="71">
        <v>1.2242999999999999</v>
      </c>
      <c r="G272" s="36" t="s">
        <v>473</v>
      </c>
    </row>
    <row r="273" spans="1:9" x14ac:dyDescent="0.3">
      <c r="A273" s="9"/>
      <c r="B273" s="9"/>
      <c r="E273" s="9" t="s">
        <v>782</v>
      </c>
      <c r="F273" s="71">
        <v>0.63278999999999996</v>
      </c>
      <c r="G273" s="36" t="s">
        <v>473</v>
      </c>
    </row>
    <row r="274" spans="1:9" ht="1.95" customHeight="1" x14ac:dyDescent="0.3">
      <c r="A274" s="9"/>
      <c r="B274" s="9"/>
      <c r="F274" s="71"/>
    </row>
    <row r="275" spans="1:9" x14ac:dyDescent="0.3">
      <c r="A275" s="9"/>
      <c r="B275" s="9"/>
      <c r="E275" s="9" t="s">
        <v>783</v>
      </c>
      <c r="F275" s="71">
        <v>13.451000000000001</v>
      </c>
      <c r="G275" s="36" t="s">
        <v>473</v>
      </c>
    </row>
    <row r="276" spans="1:9" x14ac:dyDescent="0.3">
      <c r="A276" s="9"/>
      <c r="B276" s="9"/>
      <c r="E276" s="9" t="s">
        <v>784</v>
      </c>
      <c r="F276" s="71">
        <v>6.6791</v>
      </c>
      <c r="G276" s="36" t="s">
        <v>473</v>
      </c>
    </row>
    <row r="277" spans="1:9" x14ac:dyDescent="0.3">
      <c r="A277" s="9"/>
      <c r="B277" s="9"/>
      <c r="E277" s="9" t="s">
        <v>785</v>
      </c>
      <c r="F277" s="71">
        <v>1.796E-2</v>
      </c>
      <c r="G277" s="36" t="s">
        <v>473</v>
      </c>
    </row>
    <row r="278" spans="1:9" ht="1.95" customHeight="1" x14ac:dyDescent="0.3">
      <c r="A278" s="9"/>
      <c r="B278" s="9"/>
      <c r="F278" s="71"/>
    </row>
    <row r="279" spans="1:9" x14ac:dyDescent="0.3">
      <c r="A279" s="9"/>
      <c r="B279" s="9"/>
      <c r="E279" s="9" t="s">
        <v>786</v>
      </c>
      <c r="F279" s="71">
        <v>2.1631999999999998E-2</v>
      </c>
      <c r="G279" s="36" t="s">
        <v>474</v>
      </c>
    </row>
    <row r="280" spans="1:9" ht="1.95" customHeight="1" x14ac:dyDescent="0.3">
      <c r="A280" s="9"/>
      <c r="B280" s="9"/>
      <c r="F280" s="71"/>
    </row>
    <row r="281" spans="1:9" x14ac:dyDescent="0.3">
      <c r="A281" s="9"/>
      <c r="B281" s="9"/>
      <c r="E281" s="9" t="s">
        <v>787</v>
      </c>
      <c r="F281" s="71">
        <v>1.1591</v>
      </c>
      <c r="G281" s="36" t="s">
        <v>475</v>
      </c>
    </row>
    <row r="283" spans="1:9" x14ac:dyDescent="0.3">
      <c r="A283" s="9"/>
      <c r="B283" s="9"/>
      <c r="D283" s="9" t="s">
        <v>702</v>
      </c>
    </row>
    <row r="284" spans="1:9" x14ac:dyDescent="0.3">
      <c r="A284" s="9"/>
      <c r="B284" s="9"/>
      <c r="E284" s="9" t="s">
        <v>610</v>
      </c>
      <c r="F284" s="9">
        <v>0.35518</v>
      </c>
      <c r="G284" s="36" t="s">
        <v>473</v>
      </c>
      <c r="H284" s="8" t="s">
        <v>621</v>
      </c>
      <c r="I284" s="9" t="s">
        <v>620</v>
      </c>
    </row>
    <row r="285" spans="1:9" x14ac:dyDescent="0.3">
      <c r="A285" s="9"/>
      <c r="B285" s="9"/>
      <c r="E285" s="9" t="s">
        <v>611</v>
      </c>
      <c r="F285" s="9">
        <v>1.3577000000000001E-2</v>
      </c>
      <c r="G285" s="36" t="s">
        <v>473</v>
      </c>
    </row>
    <row r="286" spans="1:9" x14ac:dyDescent="0.3">
      <c r="A286" s="9"/>
      <c r="B286" s="9"/>
      <c r="E286" s="9" t="s">
        <v>612</v>
      </c>
      <c r="F286" s="9">
        <v>7.8949000000000001E-4</v>
      </c>
      <c r="G286" s="36" t="s">
        <v>473</v>
      </c>
    </row>
    <row r="287" spans="1:9" x14ac:dyDescent="0.3">
      <c r="A287" s="9"/>
      <c r="B287" s="9"/>
      <c r="E287" s="9" t="s">
        <v>613</v>
      </c>
      <c r="F287" s="9">
        <v>0.50136999999999998</v>
      </c>
      <c r="G287" s="36" t="s">
        <v>473</v>
      </c>
    </row>
    <row r="288" spans="1:9" x14ac:dyDescent="0.3">
      <c r="A288" s="9"/>
      <c r="B288" s="9"/>
      <c r="E288" s="9" t="s">
        <v>614</v>
      </c>
      <c r="F288" s="9">
        <v>9.9664000000000003E-2</v>
      </c>
      <c r="G288" s="36" t="s">
        <v>473</v>
      </c>
    </row>
    <row r="289" spans="1:12" ht="1.95" customHeight="1" x14ac:dyDescent="0.3">
      <c r="A289" s="9"/>
      <c r="B289" s="9"/>
    </row>
    <row r="290" spans="1:12" x14ac:dyDescent="0.3">
      <c r="A290" s="9"/>
      <c r="B290" s="9"/>
      <c r="E290" s="9" t="s">
        <v>615</v>
      </c>
      <c r="F290" s="9">
        <v>74.855000000000004</v>
      </c>
      <c r="G290" s="36" t="s">
        <v>473</v>
      </c>
    </row>
    <row r="291" spans="1:12" x14ac:dyDescent="0.3">
      <c r="A291" s="9"/>
      <c r="B291" s="9"/>
      <c r="E291" s="9" t="s">
        <v>616</v>
      </c>
      <c r="F291" s="9">
        <v>2.5363000000000002</v>
      </c>
      <c r="G291" s="36" t="s">
        <v>473</v>
      </c>
    </row>
    <row r="292" spans="1:12" x14ac:dyDescent="0.3">
      <c r="A292" s="9"/>
      <c r="B292" s="9"/>
      <c r="E292" s="9" t="s">
        <v>617</v>
      </c>
      <c r="F292" s="9">
        <v>5.7304999999999997E-4</v>
      </c>
      <c r="G292" s="36" t="s">
        <v>473</v>
      </c>
    </row>
    <row r="293" spans="1:12" ht="1.95" customHeight="1" x14ac:dyDescent="0.3">
      <c r="A293" s="9"/>
      <c r="B293" s="9"/>
    </row>
    <row r="294" spans="1:12" x14ac:dyDescent="0.3">
      <c r="A294" s="9"/>
      <c r="B294" s="9"/>
      <c r="E294" s="9" t="s">
        <v>618</v>
      </c>
      <c r="F294" s="9">
        <v>6.8741000000000002E-3</v>
      </c>
      <c r="G294" s="36" t="s">
        <v>474</v>
      </c>
    </row>
    <row r="295" spans="1:12" ht="1.95" customHeight="1" x14ac:dyDescent="0.3">
      <c r="A295" s="9"/>
      <c r="B295" s="9"/>
    </row>
    <row r="296" spans="1:12" x14ac:dyDescent="0.3">
      <c r="A296" s="9"/>
      <c r="B296" s="9"/>
      <c r="E296" s="9" t="s">
        <v>619</v>
      </c>
      <c r="F296" s="9">
        <v>2.2652000000000001</v>
      </c>
      <c r="G296" s="36" t="s">
        <v>475</v>
      </c>
    </row>
    <row r="297" spans="1:12" x14ac:dyDescent="0.3">
      <c r="A297" s="9"/>
      <c r="B297" s="9"/>
    </row>
    <row r="298" spans="1:12" ht="15" x14ac:dyDescent="0.35">
      <c r="A298" s="9"/>
      <c r="B298" s="9"/>
      <c r="E298" s="9" t="s">
        <v>624</v>
      </c>
      <c r="F298" s="9">
        <v>0.64571000000000001</v>
      </c>
      <c r="G298" s="36" t="s">
        <v>473</v>
      </c>
      <c r="H298" s="76" t="s">
        <v>634</v>
      </c>
      <c r="I298" s="9" t="s">
        <v>623</v>
      </c>
      <c r="L298" s="72"/>
    </row>
    <row r="299" spans="1:12" x14ac:dyDescent="0.3">
      <c r="A299" s="9"/>
      <c r="B299" s="9"/>
      <c r="E299" s="9" t="s">
        <v>625</v>
      </c>
      <c r="F299" s="9">
        <v>1.5873000000000002E-2</v>
      </c>
      <c r="G299" s="36" t="s">
        <v>473</v>
      </c>
    </row>
    <row r="300" spans="1:12" x14ac:dyDescent="0.3">
      <c r="A300" s="9"/>
      <c r="B300" s="9"/>
      <c r="E300" s="9" t="s">
        <v>626</v>
      </c>
      <c r="F300" s="9">
        <v>0.10088</v>
      </c>
      <c r="G300" s="36" t="s">
        <v>473</v>
      </c>
    </row>
    <row r="301" spans="1:12" x14ac:dyDescent="0.3">
      <c r="A301" s="9"/>
      <c r="B301" s="9"/>
      <c r="E301" s="9" t="s">
        <v>627</v>
      </c>
      <c r="F301" s="9">
        <v>0.57150999999999996</v>
      </c>
      <c r="G301" s="36" t="s">
        <v>473</v>
      </c>
    </row>
    <row r="302" spans="1:12" x14ac:dyDescent="0.3">
      <c r="A302" s="9"/>
      <c r="B302" s="9"/>
      <c r="E302" s="9" t="s">
        <v>628</v>
      </c>
      <c r="F302" s="9">
        <v>0.21243999999999999</v>
      </c>
      <c r="G302" s="36" t="s">
        <v>473</v>
      </c>
    </row>
    <row r="303" spans="1:12" ht="1.95" customHeight="1" x14ac:dyDescent="0.3">
      <c r="A303" s="9"/>
      <c r="B303" s="9"/>
    </row>
    <row r="304" spans="1:12" x14ac:dyDescent="0.3">
      <c r="A304" s="9"/>
      <c r="B304" s="9"/>
      <c r="E304" s="9" t="s">
        <v>629</v>
      </c>
      <c r="F304" s="9">
        <v>6.2297000000000002</v>
      </c>
      <c r="G304" s="36" t="s">
        <v>473</v>
      </c>
    </row>
    <row r="305" spans="1:9" x14ac:dyDescent="0.3">
      <c r="A305" s="9"/>
      <c r="B305" s="9"/>
      <c r="E305" s="9" t="s">
        <v>630</v>
      </c>
      <c r="F305" s="9">
        <v>2.3791000000000002</v>
      </c>
      <c r="G305" s="36" t="s">
        <v>473</v>
      </c>
    </row>
    <row r="306" spans="1:9" x14ac:dyDescent="0.3">
      <c r="A306" s="9"/>
      <c r="B306" s="9"/>
      <c r="E306" s="9" t="s">
        <v>631</v>
      </c>
      <c r="F306" s="9">
        <v>5.0013000000000002E-2</v>
      </c>
      <c r="G306" s="36" t="s">
        <v>473</v>
      </c>
    </row>
    <row r="307" spans="1:9" ht="1.95" customHeight="1" x14ac:dyDescent="0.3">
      <c r="A307" s="9"/>
      <c r="B307" s="9"/>
    </row>
    <row r="308" spans="1:9" x14ac:dyDescent="0.3">
      <c r="A308" s="9"/>
      <c r="B308" s="9"/>
      <c r="E308" s="9" t="s">
        <v>632</v>
      </c>
      <c r="F308" s="9">
        <v>1.3717E-2</v>
      </c>
      <c r="G308" s="36" t="s">
        <v>474</v>
      </c>
    </row>
    <row r="309" spans="1:9" ht="1.95" customHeight="1" x14ac:dyDescent="0.3">
      <c r="A309" s="9"/>
      <c r="B309" s="9"/>
    </row>
    <row r="310" spans="1:9" x14ac:dyDescent="0.3">
      <c r="A310" s="9"/>
      <c r="B310" s="9"/>
      <c r="E310" s="9" t="s">
        <v>633</v>
      </c>
      <c r="F310" s="9">
        <v>0.70862000000000003</v>
      </c>
      <c r="G310" s="36" t="s">
        <v>475</v>
      </c>
    </row>
    <row r="312" spans="1:9" x14ac:dyDescent="0.3">
      <c r="A312" s="9"/>
      <c r="B312" s="9"/>
      <c r="C312" s="9" t="s">
        <v>504</v>
      </c>
    </row>
    <row r="313" spans="1:9" x14ac:dyDescent="0.3">
      <c r="A313" s="9"/>
      <c r="B313" s="9"/>
      <c r="D313" s="9" t="s">
        <v>520</v>
      </c>
    </row>
    <row r="314" spans="1:9" ht="15" x14ac:dyDescent="0.35">
      <c r="A314" s="9"/>
      <c r="B314" s="9"/>
      <c r="E314" s="9" t="s">
        <v>509</v>
      </c>
      <c r="F314" s="9">
        <v>2.6280000000000001E-3</v>
      </c>
      <c r="G314" s="36" t="s">
        <v>473</v>
      </c>
      <c r="H314" s="76" t="s">
        <v>505</v>
      </c>
      <c r="I314" s="9" t="s">
        <v>506</v>
      </c>
    </row>
    <row r="315" spans="1:9" x14ac:dyDescent="0.3">
      <c r="A315" s="9"/>
      <c r="B315" s="9"/>
      <c r="E315" s="9" t="s">
        <v>510</v>
      </c>
      <c r="F315" s="9">
        <v>9.1598E-5</v>
      </c>
      <c r="G315" s="36" t="s">
        <v>473</v>
      </c>
    </row>
    <row r="316" spans="1:9" x14ac:dyDescent="0.3">
      <c r="A316" s="9"/>
      <c r="B316" s="9"/>
      <c r="E316" s="9" t="s">
        <v>511</v>
      </c>
      <c r="F316" s="9">
        <v>1.2632E-5</v>
      </c>
      <c r="G316" s="36" t="s">
        <v>473</v>
      </c>
    </row>
    <row r="317" spans="1:9" x14ac:dyDescent="0.3">
      <c r="A317" s="9"/>
      <c r="B317" s="9"/>
      <c r="E317" s="9" t="s">
        <v>512</v>
      </c>
      <c r="F317" s="9">
        <v>5.2865999999999998E-3</v>
      </c>
      <c r="G317" s="36" t="s">
        <v>473</v>
      </c>
    </row>
    <row r="318" spans="1:9" x14ac:dyDescent="0.3">
      <c r="A318" s="9"/>
      <c r="B318" s="9"/>
      <c r="E318" s="9" t="s">
        <v>513</v>
      </c>
      <c r="F318" s="9">
        <v>9.1022E-4</v>
      </c>
      <c r="G318" s="36" t="s">
        <v>473</v>
      </c>
    </row>
    <row r="319" spans="1:9" ht="1.95" customHeight="1" x14ac:dyDescent="0.3">
      <c r="A319" s="9"/>
      <c r="B319" s="9"/>
    </row>
    <row r="320" spans="1:9" x14ac:dyDescent="0.3">
      <c r="A320" s="9"/>
      <c r="B320" s="9"/>
      <c r="E320" s="9" t="s">
        <v>514</v>
      </c>
      <c r="F320" s="9">
        <v>0.21035000000000001</v>
      </c>
      <c r="G320" s="36" t="s">
        <v>473</v>
      </c>
    </row>
    <row r="321" spans="1:9" x14ac:dyDescent="0.3">
      <c r="A321" s="9"/>
      <c r="B321" s="9"/>
      <c r="E321" s="9" t="s">
        <v>515</v>
      </c>
      <c r="F321" s="9">
        <v>1.1459E-2</v>
      </c>
      <c r="G321" s="36" t="s">
        <v>473</v>
      </c>
    </row>
    <row r="322" spans="1:9" x14ac:dyDescent="0.3">
      <c r="A322" s="9"/>
      <c r="B322" s="9"/>
      <c r="E322" s="9" t="s">
        <v>516</v>
      </c>
      <c r="F322" s="9">
        <v>1.0739E-5</v>
      </c>
      <c r="G322" s="36" t="s">
        <v>473</v>
      </c>
    </row>
    <row r="323" spans="1:9" ht="1.95" customHeight="1" x14ac:dyDescent="0.3">
      <c r="A323" s="9"/>
      <c r="B323" s="9"/>
    </row>
    <row r="324" spans="1:9" x14ac:dyDescent="0.3">
      <c r="A324" s="9"/>
      <c r="B324" s="9"/>
      <c r="E324" s="9" t="s">
        <v>517</v>
      </c>
      <c r="F324" s="9">
        <v>6.7628000000000002E-4</v>
      </c>
      <c r="G324" s="36" t="s">
        <v>474</v>
      </c>
    </row>
    <row r="325" spans="1:9" ht="1.95" customHeight="1" x14ac:dyDescent="0.3">
      <c r="A325" s="9"/>
      <c r="B325" s="9"/>
    </row>
    <row r="326" spans="1:9" x14ac:dyDescent="0.3">
      <c r="A326" s="9"/>
      <c r="B326" s="9"/>
      <c r="E326" s="9" t="s">
        <v>518</v>
      </c>
      <c r="F326" s="9">
        <v>3.1708E-2</v>
      </c>
      <c r="G326" s="36" t="s">
        <v>475</v>
      </c>
    </row>
    <row r="328" spans="1:9" ht="15" x14ac:dyDescent="0.35">
      <c r="A328" s="9"/>
      <c r="B328" s="9"/>
      <c r="E328" s="9" t="s">
        <v>507</v>
      </c>
      <c r="F328" s="9">
        <v>1.74</v>
      </c>
      <c r="G328" s="36" t="s">
        <v>519</v>
      </c>
      <c r="H328" s="76" t="s">
        <v>505</v>
      </c>
      <c r="I328" s="9" t="s">
        <v>506</v>
      </c>
    </row>
    <row r="329" spans="1:9" ht="15" x14ac:dyDescent="0.35">
      <c r="A329" s="9"/>
      <c r="B329" s="9"/>
      <c r="E329" s="9" t="s">
        <v>508</v>
      </c>
      <c r="F329" s="9">
        <v>3.5</v>
      </c>
      <c r="G329" s="36" t="s">
        <v>519</v>
      </c>
      <c r="H329" s="76" t="s">
        <v>505</v>
      </c>
      <c r="I329" s="9" t="s">
        <v>506</v>
      </c>
    </row>
    <row r="331" spans="1:9" x14ac:dyDescent="0.3">
      <c r="A331" s="9"/>
      <c r="B331" s="9"/>
      <c r="D331" s="9" t="s">
        <v>594</v>
      </c>
    </row>
    <row r="332" spans="1:9" ht="15" x14ac:dyDescent="0.35">
      <c r="A332" s="9"/>
      <c r="B332" s="9"/>
      <c r="E332" s="9" t="s">
        <v>595</v>
      </c>
      <c r="F332" s="9">
        <v>5.9201000000000002E-3</v>
      </c>
      <c r="G332" s="36" t="s">
        <v>473</v>
      </c>
      <c r="H332" s="76" t="s">
        <v>605</v>
      </c>
      <c r="I332" s="9" t="s">
        <v>606</v>
      </c>
    </row>
    <row r="333" spans="1:9" x14ac:dyDescent="0.3">
      <c r="A333" s="9"/>
      <c r="B333" s="9"/>
      <c r="E333" s="9" t="s">
        <v>596</v>
      </c>
      <c r="F333" s="9">
        <v>2.2561E-4</v>
      </c>
      <c r="G333" s="36" t="s">
        <v>473</v>
      </c>
    </row>
    <row r="334" spans="1:9" x14ac:dyDescent="0.3">
      <c r="A334" s="9"/>
      <c r="B334" s="9"/>
      <c r="E334" s="9" t="s">
        <v>597</v>
      </c>
      <c r="F334" s="9">
        <v>2.0874999999999999E-5</v>
      </c>
      <c r="G334" s="36" t="s">
        <v>473</v>
      </c>
    </row>
    <row r="335" spans="1:9" x14ac:dyDescent="0.3">
      <c r="A335" s="9"/>
      <c r="B335" s="9"/>
      <c r="E335" s="9" t="s">
        <v>598</v>
      </c>
      <c r="F335" s="9">
        <v>9.2981000000000001E-3</v>
      </c>
      <c r="G335" s="36" t="s">
        <v>473</v>
      </c>
    </row>
    <row r="336" spans="1:9" x14ac:dyDescent="0.3">
      <c r="A336" s="9"/>
      <c r="B336" s="9"/>
      <c r="E336" s="9" t="s">
        <v>599</v>
      </c>
      <c r="F336" s="9">
        <v>1.4995E-3</v>
      </c>
      <c r="G336" s="36" t="s">
        <v>473</v>
      </c>
    </row>
    <row r="337" spans="1:10" ht="1.95" customHeight="1" x14ac:dyDescent="0.3">
      <c r="A337" s="9"/>
      <c r="B337" s="9"/>
    </row>
    <row r="338" spans="1:10" x14ac:dyDescent="0.3">
      <c r="A338" s="9"/>
      <c r="B338" s="9"/>
      <c r="E338" s="9" t="s">
        <v>600</v>
      </c>
      <c r="F338" s="9">
        <v>0.45071</v>
      </c>
      <c r="G338" s="36" t="s">
        <v>473</v>
      </c>
    </row>
    <row r="339" spans="1:10" x14ac:dyDescent="0.3">
      <c r="A339" s="9"/>
      <c r="B339" s="9"/>
      <c r="E339" s="9" t="s">
        <v>601</v>
      </c>
      <c r="F339" s="9">
        <v>1.4777999999999999E-2</v>
      </c>
      <c r="G339" s="36" t="s">
        <v>473</v>
      </c>
    </row>
    <row r="340" spans="1:10" x14ac:dyDescent="0.3">
      <c r="A340" s="9"/>
      <c r="B340" s="9"/>
      <c r="E340" s="9" t="s">
        <v>602</v>
      </c>
      <c r="F340" s="9">
        <v>1.4925E-5</v>
      </c>
      <c r="G340" s="36" t="s">
        <v>473</v>
      </c>
    </row>
    <row r="341" spans="1:10" ht="1.95" customHeight="1" x14ac:dyDescent="0.3">
      <c r="A341" s="9"/>
      <c r="B341" s="9"/>
    </row>
    <row r="342" spans="1:10" x14ac:dyDescent="0.3">
      <c r="A342" s="9"/>
      <c r="B342" s="9"/>
      <c r="E342" s="9" t="s">
        <v>603</v>
      </c>
      <c r="F342" s="9">
        <v>3.9680999999999996E-3</v>
      </c>
      <c r="G342" s="36" t="s">
        <v>474</v>
      </c>
    </row>
    <row r="343" spans="1:10" ht="1.95" customHeight="1" x14ac:dyDescent="0.3">
      <c r="A343" s="9"/>
      <c r="B343" s="9"/>
    </row>
    <row r="344" spans="1:10" x14ac:dyDescent="0.3">
      <c r="A344" s="9"/>
      <c r="B344" s="9"/>
      <c r="E344" s="9" t="s">
        <v>604</v>
      </c>
      <c r="F344" s="9">
        <v>2.3748999999999998</v>
      </c>
      <c r="G344" s="36" t="s">
        <v>475</v>
      </c>
    </row>
    <row r="346" spans="1:10" ht="15" x14ac:dyDescent="0.35">
      <c r="A346" s="9"/>
      <c r="B346" s="9"/>
      <c r="E346" s="9" t="s">
        <v>607</v>
      </c>
      <c r="F346" s="9">
        <v>3.92</v>
      </c>
      <c r="G346" s="36" t="s">
        <v>519</v>
      </c>
      <c r="H346" s="76" t="s">
        <v>605</v>
      </c>
      <c r="I346" s="9" t="s">
        <v>606</v>
      </c>
    </row>
    <row r="347" spans="1:10" ht="15" x14ac:dyDescent="0.35">
      <c r="A347" s="9"/>
      <c r="B347" s="9"/>
      <c r="E347" s="9" t="s">
        <v>608</v>
      </c>
      <c r="F347" s="9">
        <v>7.66</v>
      </c>
      <c r="G347" s="36" t="s">
        <v>519</v>
      </c>
      <c r="H347" s="76" t="s">
        <v>605</v>
      </c>
      <c r="I347" s="9" t="s">
        <v>606</v>
      </c>
    </row>
    <row r="348" spans="1:10" ht="15" x14ac:dyDescent="0.35">
      <c r="A348" s="9"/>
      <c r="B348" s="9"/>
      <c r="H348" s="76"/>
    </row>
    <row r="349" spans="1:10" x14ac:dyDescent="0.3">
      <c r="A349" s="9"/>
      <c r="B349" s="9"/>
      <c r="D349" s="9" t="s">
        <v>1167</v>
      </c>
      <c r="F349" s="77"/>
    </row>
    <row r="350" spans="1:10" ht="15" x14ac:dyDescent="0.35">
      <c r="A350" s="9"/>
      <c r="B350" s="9"/>
      <c r="E350" s="9" t="s">
        <v>577</v>
      </c>
      <c r="F350" s="9">
        <v>3.2242999999999999</v>
      </c>
      <c r="G350" s="36" t="s">
        <v>587</v>
      </c>
      <c r="H350" s="76" t="s">
        <v>1601</v>
      </c>
      <c r="I350" s="9" t="s">
        <v>1600</v>
      </c>
      <c r="J350" s="9" t="s">
        <v>1602</v>
      </c>
    </row>
    <row r="351" spans="1:10" x14ac:dyDescent="0.3">
      <c r="A351" s="9"/>
      <c r="B351" s="9"/>
      <c r="E351" s="9" t="s">
        <v>578</v>
      </c>
      <c r="F351" s="9">
        <v>6.3539E-4</v>
      </c>
      <c r="G351" s="36" t="s">
        <v>587</v>
      </c>
    </row>
    <row r="352" spans="1:10" x14ac:dyDescent="0.3">
      <c r="A352" s="9"/>
      <c r="B352" s="9"/>
      <c r="E352" s="9" t="s">
        <v>579</v>
      </c>
      <c r="F352" s="9">
        <v>2.5720000000000002E-4</v>
      </c>
      <c r="G352" s="36" t="s">
        <v>587</v>
      </c>
    </row>
    <row r="353" spans="1:14" x14ac:dyDescent="0.3">
      <c r="A353" s="9"/>
      <c r="B353" s="9"/>
      <c r="E353" s="9" t="s">
        <v>580</v>
      </c>
      <c r="F353" s="9">
        <v>2.9499000000000001E-2</v>
      </c>
      <c r="G353" s="36" t="s">
        <v>587</v>
      </c>
    </row>
    <row r="354" spans="1:14" x14ac:dyDescent="0.3">
      <c r="A354" s="9"/>
      <c r="B354" s="9"/>
      <c r="E354" s="9" t="s">
        <v>581</v>
      </c>
      <c r="F354" s="9">
        <v>6.4552999999999998E-3</v>
      </c>
      <c r="G354" s="36" t="s">
        <v>587</v>
      </c>
    </row>
    <row r="355" spans="1:14" ht="1.95" customHeight="1" x14ac:dyDescent="0.3">
      <c r="A355" s="9"/>
      <c r="B355" s="9"/>
    </row>
    <row r="356" spans="1:14" x14ac:dyDescent="0.3">
      <c r="A356" s="9"/>
      <c r="B356" s="9"/>
      <c r="E356" s="9" t="s">
        <v>582</v>
      </c>
      <c r="F356" s="9">
        <v>15.563000000000001</v>
      </c>
      <c r="G356" s="36" t="s">
        <v>587</v>
      </c>
    </row>
    <row r="357" spans="1:14" x14ac:dyDescent="0.3">
      <c r="A357" s="9"/>
      <c r="B357" s="9"/>
      <c r="E357" s="9" t="s">
        <v>583</v>
      </c>
      <c r="F357" s="9">
        <v>0.26207000000000003</v>
      </c>
      <c r="G357" s="36" t="s">
        <v>587</v>
      </c>
    </row>
    <row r="358" spans="1:14" x14ac:dyDescent="0.3">
      <c r="A358" s="9"/>
      <c r="B358" s="9"/>
      <c r="E358" s="9" t="s">
        <v>584</v>
      </c>
      <c r="F358" s="9">
        <v>2.0896000000000001E-3</v>
      </c>
      <c r="G358" s="36" t="s">
        <v>587</v>
      </c>
    </row>
    <row r="359" spans="1:14" ht="1.95" customHeight="1" x14ac:dyDescent="0.3">
      <c r="A359" s="9"/>
      <c r="B359" s="9"/>
    </row>
    <row r="360" spans="1:14" x14ac:dyDescent="0.3">
      <c r="A360" s="9"/>
      <c r="B360" s="9"/>
      <c r="E360" s="9" t="s">
        <v>585</v>
      </c>
      <c r="F360" s="9">
        <v>1.5888E-3</v>
      </c>
      <c r="G360" s="36" t="s">
        <v>588</v>
      </c>
    </row>
    <row r="361" spans="1:14" ht="1.95" customHeight="1" x14ac:dyDescent="0.3">
      <c r="A361" s="9"/>
      <c r="B361" s="9"/>
    </row>
    <row r="362" spans="1:14" x14ac:dyDescent="0.3">
      <c r="A362" s="9"/>
      <c r="B362" s="9"/>
      <c r="E362" s="9" t="s">
        <v>586</v>
      </c>
      <c r="F362" s="9">
        <v>0.49099999999999999</v>
      </c>
      <c r="G362" s="36" t="s">
        <v>589</v>
      </c>
    </row>
    <row r="364" spans="1:14" x14ac:dyDescent="0.3">
      <c r="A364" s="9"/>
      <c r="B364" s="9"/>
      <c r="E364" s="9" t="s">
        <v>738</v>
      </c>
      <c r="F364" s="90">
        <v>2.0808E-4</v>
      </c>
      <c r="G364" s="36" t="s">
        <v>587</v>
      </c>
      <c r="H364" s="87" t="s">
        <v>592</v>
      </c>
      <c r="I364" s="9" t="s">
        <v>593</v>
      </c>
      <c r="L364" s="72"/>
    </row>
    <row r="365" spans="1:14" x14ac:dyDescent="0.3">
      <c r="A365" s="9"/>
      <c r="B365" s="9"/>
      <c r="E365" s="9" t="s">
        <v>739</v>
      </c>
      <c r="F365" s="90">
        <v>5.0508E-6</v>
      </c>
      <c r="G365" s="36" t="s">
        <v>587</v>
      </c>
    </row>
    <row r="366" spans="1:14" x14ac:dyDescent="0.3">
      <c r="A366" s="9"/>
      <c r="B366" s="9"/>
      <c r="E366" s="9" t="s">
        <v>740</v>
      </c>
      <c r="F366" s="90">
        <v>3.8564E-7</v>
      </c>
      <c r="G366" s="36" t="s">
        <v>587</v>
      </c>
    </row>
    <row r="367" spans="1:14" x14ac:dyDescent="0.3">
      <c r="A367" s="9"/>
      <c r="B367" s="9"/>
      <c r="E367" s="9" t="s">
        <v>741</v>
      </c>
      <c r="F367" s="90">
        <v>3.8290999999999998E-4</v>
      </c>
      <c r="G367" s="36" t="s">
        <v>587</v>
      </c>
      <c r="N367" s="90"/>
    </row>
    <row r="368" spans="1:14" x14ac:dyDescent="0.3">
      <c r="A368" s="9"/>
      <c r="B368" s="9"/>
      <c r="E368" s="9" t="s">
        <v>742</v>
      </c>
      <c r="F368" s="90">
        <v>7.6681000000000007E-5</v>
      </c>
      <c r="G368" s="36" t="s">
        <v>587</v>
      </c>
    </row>
    <row r="369" spans="1:7" ht="1.95" customHeight="1" x14ac:dyDescent="0.3">
      <c r="A369" s="9"/>
      <c r="B369" s="9"/>
      <c r="F369" s="90"/>
    </row>
    <row r="370" spans="1:7" x14ac:dyDescent="0.3">
      <c r="A370" s="9"/>
      <c r="B370" s="9"/>
      <c r="E370" s="9" t="s">
        <v>743</v>
      </c>
      <c r="F370" s="90">
        <v>0.51809000000000005</v>
      </c>
      <c r="G370" s="36" t="s">
        <v>587</v>
      </c>
    </row>
    <row r="371" spans="1:7" x14ac:dyDescent="0.3">
      <c r="A371" s="9"/>
      <c r="B371" s="9"/>
      <c r="E371" s="9" t="s">
        <v>744</v>
      </c>
      <c r="F371" s="90">
        <v>5.9409999999999997E-4</v>
      </c>
      <c r="G371" s="36" t="s">
        <v>587</v>
      </c>
    </row>
    <row r="372" spans="1:7" x14ac:dyDescent="0.3">
      <c r="A372" s="9"/>
      <c r="B372" s="9"/>
      <c r="E372" s="9" t="s">
        <v>745</v>
      </c>
      <c r="F372" s="90">
        <v>8.5758000000000003E-7</v>
      </c>
      <c r="G372" s="36" t="s">
        <v>587</v>
      </c>
    </row>
    <row r="373" spans="1:7" ht="1.95" customHeight="1" x14ac:dyDescent="0.3">
      <c r="A373" s="9"/>
      <c r="B373" s="9"/>
      <c r="F373" s="90"/>
    </row>
    <row r="374" spans="1:7" x14ac:dyDescent="0.3">
      <c r="A374" s="9"/>
      <c r="B374" s="9"/>
      <c r="E374" s="9" t="s">
        <v>746</v>
      </c>
      <c r="F374" s="90">
        <v>9.8060999999999995E-5</v>
      </c>
      <c r="G374" s="36" t="s">
        <v>588</v>
      </c>
    </row>
    <row r="375" spans="1:7" ht="1.95" customHeight="1" x14ac:dyDescent="0.3">
      <c r="A375" s="9"/>
      <c r="B375" s="9"/>
      <c r="F375" s="90"/>
    </row>
    <row r="376" spans="1:7" x14ac:dyDescent="0.3">
      <c r="A376" s="9"/>
      <c r="B376" s="9"/>
      <c r="E376" s="9" t="s">
        <v>747</v>
      </c>
      <c r="F376" s="90">
        <v>2.6577E-2</v>
      </c>
      <c r="G376" s="36" t="s">
        <v>589</v>
      </c>
    </row>
    <row r="378" spans="1:7" x14ac:dyDescent="0.3">
      <c r="A378" s="9"/>
      <c r="B378" s="9"/>
    </row>
    <row r="379" spans="1:7" x14ac:dyDescent="0.3">
      <c r="A379" s="9"/>
      <c r="B379" s="9"/>
    </row>
    <row r="380" spans="1:7" x14ac:dyDescent="0.3">
      <c r="A380" s="9"/>
      <c r="B380" s="9"/>
    </row>
  </sheetData>
  <sheetProtection algorithmName="SHA-512" hashValue="IUkK3FPJI+GLHr7A6YzMVefGwPgJlj6HlqjPZGXxtRR+I6ou0YK2latfUvxqkgclv0zb3M7FFLv1UGOV6R+cIg==" saltValue="Ht0ufo98t0hl2cGj+swzSg==" spinCount="100000" sheet="1" objects="1" scenarios="1"/>
  <hyperlinks>
    <hyperlink ref="I107" r:id="rId1" xr:uid="{5A2F0BF9-376E-419F-A7E2-02076DEEA852}"/>
    <hyperlink ref="I76" r:id="rId2" xr:uid="{5F280DB9-1BEE-4DDF-87A0-E78517B6C622}"/>
    <hyperlink ref="I364" r:id="rId3" xr:uid="{CDE56800-0C5C-497D-8FA8-98A4AD5FDCB8}"/>
    <hyperlink ref="I332" r:id="rId4" xr:uid="{3D29AE07-5A71-44B5-8841-1502D29500AE}"/>
    <hyperlink ref="I346" r:id="rId5" xr:uid="{59ACB744-5B4B-43B7-9117-D09EC1D0B83C}"/>
    <hyperlink ref="I347" r:id="rId6" xr:uid="{1B5D152B-0E43-4C04-BC1D-02441CD58A19}"/>
    <hyperlink ref="I284" r:id="rId7" xr:uid="{7B00BF58-447C-4492-BA9A-970FCB1C23B2}"/>
    <hyperlink ref="I142" r:id="rId8" xr:uid="{7A82539C-CAA0-4879-8F4E-67BCBD3B1BEA}"/>
    <hyperlink ref="I139" r:id="rId9" xr:uid="{B6F6F86F-3C08-4187-9A29-3C1558206002}"/>
    <hyperlink ref="I147" r:id="rId10" xr:uid="{8C8B1D0A-756D-4D0B-9781-7EEC8709B97D}"/>
    <hyperlink ref="I163" r:id="rId11" xr:uid="{4ABC3232-5F66-40D8-8982-C3B82FC02BB5}"/>
    <hyperlink ref="I166" r:id="rId12" xr:uid="{992DAFD9-6F90-4433-948E-264FF885C084}"/>
    <hyperlink ref="I244" r:id="rId13" xr:uid="{E75E1574-85FE-4EA5-B2E1-6B8AE865C150}"/>
    <hyperlink ref="I216" r:id="rId14" xr:uid="{E2F44369-5258-4DDF-B875-8D55DB834AFB}"/>
    <hyperlink ref="I230" r:id="rId15" xr:uid="{057F697F-C242-41C5-8F80-2D51A43154A5}"/>
  </hyperlinks>
  <pageMargins left="0.7" right="0.7" top="0.75" bottom="0.75" header="0.3" footer="0.3"/>
  <pageSetup orientation="portrait"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7A6AA-70CF-47CD-AEEA-4A5636E0BBDA}">
  <sheetPr codeName="Sheet6"/>
  <dimension ref="A2:C364"/>
  <sheetViews>
    <sheetView topLeftCell="A103" workbookViewId="0">
      <selection activeCell="B118" sqref="B118"/>
    </sheetView>
  </sheetViews>
  <sheetFormatPr defaultColWidth="9.109375" defaultRowHeight="13.8" x14ac:dyDescent="0.3"/>
  <cols>
    <col min="1" max="16384" width="9.109375" style="139"/>
  </cols>
  <sheetData>
    <row r="2" spans="1:3" x14ac:dyDescent="0.3">
      <c r="A2" s="138" t="s">
        <v>1116</v>
      </c>
    </row>
    <row r="4" spans="1:3" x14ac:dyDescent="0.3">
      <c r="B4" s="140" t="str">
        <f xml:space="preserve"> Dashboard!D$3</f>
        <v>Selecteer gemeente</v>
      </c>
      <c r="C4" s="140" t="str">
        <f xml:space="preserve"> Dashboard!F$3</f>
        <v>Folderdam</v>
      </c>
    </row>
    <row r="5" spans="1:3" x14ac:dyDescent="0.3">
      <c r="B5" s="139" t="s">
        <v>1542</v>
      </c>
      <c r="C5" s="139">
        <f>VLOOKUP($C$4,$A$9:$B$364,2,FALSE)</f>
        <v>1234</v>
      </c>
    </row>
    <row r="7" spans="1:3" x14ac:dyDescent="0.3">
      <c r="A7" s="138" t="s">
        <v>1543</v>
      </c>
    </row>
    <row r="9" spans="1:3" ht="14.4" x14ac:dyDescent="0.3">
      <c r="A9" s="137" t="s">
        <v>53</v>
      </c>
      <c r="B9" s="139" t="s">
        <v>1187</v>
      </c>
    </row>
    <row r="10" spans="1:3" ht="14.4" x14ac:dyDescent="0.3">
      <c r="A10" s="137" t="s">
        <v>54</v>
      </c>
      <c r="B10" s="139" t="s">
        <v>1188</v>
      </c>
    </row>
    <row r="11" spans="1:3" ht="14.4" x14ac:dyDescent="0.3">
      <c r="A11" s="137" t="s">
        <v>55</v>
      </c>
      <c r="B11" s="139" t="s">
        <v>1189</v>
      </c>
    </row>
    <row r="12" spans="1:3" ht="14.4" x14ac:dyDescent="0.3">
      <c r="A12" s="137" t="s">
        <v>56</v>
      </c>
      <c r="B12" s="139" t="s">
        <v>1190</v>
      </c>
    </row>
    <row r="13" spans="1:3" ht="14.4" x14ac:dyDescent="0.3">
      <c r="A13" s="137" t="s">
        <v>57</v>
      </c>
      <c r="B13" s="139" t="s">
        <v>1191</v>
      </c>
    </row>
    <row r="14" spans="1:3" ht="14.4" x14ac:dyDescent="0.3">
      <c r="A14" s="137" t="s">
        <v>58</v>
      </c>
      <c r="B14" s="139" t="s">
        <v>1192</v>
      </c>
    </row>
    <row r="15" spans="1:3" ht="14.4" x14ac:dyDescent="0.3">
      <c r="A15" s="137" t="s">
        <v>59</v>
      </c>
      <c r="B15" s="139" t="s">
        <v>1193</v>
      </c>
    </row>
    <row r="16" spans="1:3" ht="14.4" x14ac:dyDescent="0.3">
      <c r="A16" s="137" t="s">
        <v>60</v>
      </c>
      <c r="B16" s="139" t="s">
        <v>1194</v>
      </c>
    </row>
    <row r="17" spans="1:2" ht="14.4" x14ac:dyDescent="0.3">
      <c r="A17" s="137" t="s">
        <v>61</v>
      </c>
      <c r="B17" s="139" t="s">
        <v>1195</v>
      </c>
    </row>
    <row r="18" spans="1:2" ht="14.4" x14ac:dyDescent="0.3">
      <c r="A18" s="137" t="s">
        <v>62</v>
      </c>
      <c r="B18" s="139" t="s">
        <v>1196</v>
      </c>
    </row>
    <row r="19" spans="1:2" ht="14.4" x14ac:dyDescent="0.3">
      <c r="A19" s="137" t="s">
        <v>63</v>
      </c>
      <c r="B19" s="139" t="s">
        <v>1197</v>
      </c>
    </row>
    <row r="20" spans="1:2" ht="14.4" x14ac:dyDescent="0.3">
      <c r="A20" s="137" t="s">
        <v>64</v>
      </c>
      <c r="B20" s="139" t="s">
        <v>1198</v>
      </c>
    </row>
    <row r="21" spans="1:2" ht="14.4" x14ac:dyDescent="0.3">
      <c r="A21" s="137" t="s">
        <v>65</v>
      </c>
      <c r="B21" s="139" t="s">
        <v>1199</v>
      </c>
    </row>
    <row r="22" spans="1:2" ht="14.4" x14ac:dyDescent="0.3">
      <c r="A22" s="137" t="s">
        <v>66</v>
      </c>
      <c r="B22" s="139" t="s">
        <v>1200</v>
      </c>
    </row>
    <row r="23" spans="1:2" ht="14.4" x14ac:dyDescent="0.3">
      <c r="A23" s="137" t="s">
        <v>67</v>
      </c>
      <c r="B23" s="139" t="s">
        <v>1201</v>
      </c>
    </row>
    <row r="24" spans="1:2" ht="14.4" x14ac:dyDescent="0.3">
      <c r="A24" s="137" t="s">
        <v>7</v>
      </c>
      <c r="B24" s="139" t="s">
        <v>1202</v>
      </c>
    </row>
    <row r="25" spans="1:2" ht="14.4" x14ac:dyDescent="0.3">
      <c r="A25" s="137" t="s">
        <v>68</v>
      </c>
      <c r="B25" s="139" t="s">
        <v>1203</v>
      </c>
    </row>
    <row r="26" spans="1:2" ht="14.4" x14ac:dyDescent="0.3">
      <c r="A26" s="137" t="s">
        <v>69</v>
      </c>
      <c r="B26" s="139" t="s">
        <v>1204</v>
      </c>
    </row>
    <row r="27" spans="1:2" ht="14.4" x14ac:dyDescent="0.3">
      <c r="A27" s="137" t="s">
        <v>70</v>
      </c>
      <c r="B27" s="139" t="s">
        <v>1205</v>
      </c>
    </row>
    <row r="28" spans="1:2" ht="14.4" x14ac:dyDescent="0.3">
      <c r="A28" s="137" t="s">
        <v>71</v>
      </c>
      <c r="B28" s="139" t="s">
        <v>1206</v>
      </c>
    </row>
    <row r="29" spans="1:2" ht="14.4" x14ac:dyDescent="0.3">
      <c r="A29" s="137" t="s">
        <v>72</v>
      </c>
      <c r="B29" s="139" t="s">
        <v>1207</v>
      </c>
    </row>
    <row r="30" spans="1:2" ht="14.4" x14ac:dyDescent="0.3">
      <c r="A30" s="137" t="s">
        <v>73</v>
      </c>
      <c r="B30" s="139" t="s">
        <v>1208</v>
      </c>
    </row>
    <row r="31" spans="1:2" ht="14.4" x14ac:dyDescent="0.3">
      <c r="A31" s="137" t="s">
        <v>74</v>
      </c>
      <c r="B31" s="139" t="s">
        <v>1209</v>
      </c>
    </row>
    <row r="32" spans="1:2" ht="14.4" x14ac:dyDescent="0.3">
      <c r="A32" s="137" t="s">
        <v>75</v>
      </c>
      <c r="B32" s="139" t="s">
        <v>1210</v>
      </c>
    </row>
    <row r="33" spans="1:2" ht="14.4" x14ac:dyDescent="0.3">
      <c r="A33" s="137" t="s">
        <v>76</v>
      </c>
      <c r="B33" s="139" t="s">
        <v>1211</v>
      </c>
    </row>
    <row r="34" spans="1:2" ht="14.4" x14ac:dyDescent="0.3">
      <c r="A34" s="137" t="s">
        <v>77</v>
      </c>
      <c r="B34" s="139" t="s">
        <v>1212</v>
      </c>
    </row>
    <row r="35" spans="1:2" ht="14.4" x14ac:dyDescent="0.3">
      <c r="A35" s="137" t="s">
        <v>78</v>
      </c>
      <c r="B35" s="139" t="s">
        <v>1213</v>
      </c>
    </row>
    <row r="36" spans="1:2" ht="14.4" x14ac:dyDescent="0.3">
      <c r="A36" s="137" t="s">
        <v>79</v>
      </c>
      <c r="B36" s="139" t="s">
        <v>1214</v>
      </c>
    </row>
    <row r="37" spans="1:2" ht="14.4" x14ac:dyDescent="0.3">
      <c r="A37" s="137" t="s">
        <v>80</v>
      </c>
      <c r="B37" s="139" t="s">
        <v>1215</v>
      </c>
    </row>
    <row r="38" spans="1:2" ht="14.4" x14ac:dyDescent="0.3">
      <c r="A38" s="137" t="s">
        <v>81</v>
      </c>
      <c r="B38" s="139" t="s">
        <v>1216</v>
      </c>
    </row>
    <row r="39" spans="1:2" ht="14.4" x14ac:dyDescent="0.3">
      <c r="A39" s="137" t="s">
        <v>82</v>
      </c>
      <c r="B39" s="139" t="s">
        <v>1217</v>
      </c>
    </row>
    <row r="40" spans="1:2" ht="14.4" x14ac:dyDescent="0.3">
      <c r="A40" s="137" t="s">
        <v>83</v>
      </c>
      <c r="B40" s="139" t="s">
        <v>1218</v>
      </c>
    </row>
    <row r="41" spans="1:2" ht="14.4" x14ac:dyDescent="0.3">
      <c r="A41" s="137" t="s">
        <v>84</v>
      </c>
      <c r="B41" s="139" t="s">
        <v>1219</v>
      </c>
    </row>
    <row r="42" spans="1:2" ht="14.4" x14ac:dyDescent="0.3">
      <c r="A42" s="137" t="s">
        <v>85</v>
      </c>
      <c r="B42" s="139" t="s">
        <v>1220</v>
      </c>
    </row>
    <row r="43" spans="1:2" ht="14.4" x14ac:dyDescent="0.3">
      <c r="A43" s="137" t="s">
        <v>86</v>
      </c>
      <c r="B43" s="139" t="s">
        <v>1221</v>
      </c>
    </row>
    <row r="44" spans="1:2" ht="14.4" x14ac:dyDescent="0.3">
      <c r="A44" s="137" t="s">
        <v>87</v>
      </c>
      <c r="B44" s="139" t="s">
        <v>1222</v>
      </c>
    </row>
    <row r="45" spans="1:2" ht="14.4" x14ac:dyDescent="0.3">
      <c r="A45" s="137" t="s">
        <v>88</v>
      </c>
      <c r="B45" s="139" t="s">
        <v>1223</v>
      </c>
    </row>
    <row r="46" spans="1:2" ht="14.4" x14ac:dyDescent="0.3">
      <c r="A46" s="137" t="s">
        <v>89</v>
      </c>
      <c r="B46" s="139" t="s">
        <v>1224</v>
      </c>
    </row>
    <row r="47" spans="1:2" ht="14.4" x14ac:dyDescent="0.3">
      <c r="A47" s="137" t="s">
        <v>90</v>
      </c>
      <c r="B47" s="139" t="s">
        <v>1225</v>
      </c>
    </row>
    <row r="48" spans="1:2" ht="14.4" x14ac:dyDescent="0.3">
      <c r="A48" s="137" t="s">
        <v>91</v>
      </c>
      <c r="B48" s="139" t="s">
        <v>1226</v>
      </c>
    </row>
    <row r="49" spans="1:2" ht="14.4" x14ac:dyDescent="0.3">
      <c r="A49" s="137" t="s">
        <v>92</v>
      </c>
      <c r="B49" s="139" t="s">
        <v>1227</v>
      </c>
    </row>
    <row r="50" spans="1:2" ht="14.4" x14ac:dyDescent="0.3">
      <c r="A50" s="137" t="s">
        <v>93</v>
      </c>
      <c r="B50" s="139" t="s">
        <v>1228</v>
      </c>
    </row>
    <row r="51" spans="1:2" ht="14.4" x14ac:dyDescent="0.3">
      <c r="A51" s="137" t="s">
        <v>94</v>
      </c>
      <c r="B51" s="139" t="s">
        <v>1229</v>
      </c>
    </row>
    <row r="52" spans="1:2" ht="14.4" x14ac:dyDescent="0.3">
      <c r="A52" s="137" t="s">
        <v>95</v>
      </c>
      <c r="B52" s="139" t="s">
        <v>1230</v>
      </c>
    </row>
    <row r="53" spans="1:2" ht="14.4" x14ac:dyDescent="0.3">
      <c r="A53" s="137" t="s">
        <v>96</v>
      </c>
      <c r="B53" s="139" t="s">
        <v>1231</v>
      </c>
    </row>
    <row r="54" spans="1:2" ht="14.4" x14ac:dyDescent="0.3">
      <c r="A54" s="137" t="s">
        <v>97</v>
      </c>
      <c r="B54" s="139" t="s">
        <v>1232</v>
      </c>
    </row>
    <row r="55" spans="1:2" ht="14.4" x14ac:dyDescent="0.3">
      <c r="A55" s="137" t="s">
        <v>98</v>
      </c>
      <c r="B55" s="139" t="s">
        <v>1233</v>
      </c>
    </row>
    <row r="56" spans="1:2" ht="14.4" x14ac:dyDescent="0.3">
      <c r="A56" s="137" t="s">
        <v>99</v>
      </c>
      <c r="B56" s="139" t="s">
        <v>1234</v>
      </c>
    </row>
    <row r="57" spans="1:2" ht="14.4" x14ac:dyDescent="0.3">
      <c r="A57" s="137" t="s">
        <v>100</v>
      </c>
      <c r="B57" s="139" t="s">
        <v>1235</v>
      </c>
    </row>
    <row r="58" spans="1:2" ht="14.4" x14ac:dyDescent="0.3">
      <c r="A58" s="137" t="s">
        <v>101</v>
      </c>
      <c r="B58" s="139" t="s">
        <v>1236</v>
      </c>
    </row>
    <row r="59" spans="1:2" ht="14.4" x14ac:dyDescent="0.3">
      <c r="A59" s="137" t="s">
        <v>102</v>
      </c>
      <c r="B59" s="139" t="s">
        <v>1237</v>
      </c>
    </row>
    <row r="60" spans="1:2" ht="14.4" x14ac:dyDescent="0.3">
      <c r="A60" s="137" t="s">
        <v>103</v>
      </c>
      <c r="B60" s="139" t="s">
        <v>1238</v>
      </c>
    </row>
    <row r="61" spans="1:2" ht="14.4" x14ac:dyDescent="0.3">
      <c r="A61" s="137" t="s">
        <v>104</v>
      </c>
      <c r="B61" s="139" t="s">
        <v>1239</v>
      </c>
    </row>
    <row r="62" spans="1:2" ht="14.4" x14ac:dyDescent="0.3">
      <c r="A62" s="137" t="s">
        <v>105</v>
      </c>
      <c r="B62" s="139" t="s">
        <v>1240</v>
      </c>
    </row>
    <row r="63" spans="1:2" ht="14.4" x14ac:dyDescent="0.3">
      <c r="A63" s="137" t="s">
        <v>106</v>
      </c>
      <c r="B63" s="139" t="s">
        <v>1241</v>
      </c>
    </row>
    <row r="64" spans="1:2" ht="14.4" x14ac:dyDescent="0.3">
      <c r="A64" s="137" t="s">
        <v>107</v>
      </c>
      <c r="B64" s="139" t="s">
        <v>1242</v>
      </c>
    </row>
    <row r="65" spans="1:2" ht="14.4" x14ac:dyDescent="0.3">
      <c r="A65" s="137" t="s">
        <v>108</v>
      </c>
      <c r="B65" s="139" t="s">
        <v>1243</v>
      </c>
    </row>
    <row r="66" spans="1:2" ht="14.4" x14ac:dyDescent="0.3">
      <c r="A66" s="137" t="s">
        <v>109</v>
      </c>
      <c r="B66" s="139" t="s">
        <v>1244</v>
      </c>
    </row>
    <row r="67" spans="1:2" ht="14.4" x14ac:dyDescent="0.3">
      <c r="A67" s="137" t="s">
        <v>110</v>
      </c>
      <c r="B67" s="139" t="s">
        <v>1245</v>
      </c>
    </row>
    <row r="68" spans="1:2" ht="14.4" x14ac:dyDescent="0.3">
      <c r="A68" s="137" t="s">
        <v>111</v>
      </c>
      <c r="B68" s="139" t="s">
        <v>1246</v>
      </c>
    </row>
    <row r="69" spans="1:2" ht="14.4" x14ac:dyDescent="0.3">
      <c r="A69" s="137" t="s">
        <v>112</v>
      </c>
      <c r="B69" s="139" t="s">
        <v>1247</v>
      </c>
    </row>
    <row r="70" spans="1:2" ht="14.4" x14ac:dyDescent="0.3">
      <c r="A70" s="137" t="s">
        <v>113</v>
      </c>
      <c r="B70" s="139" t="s">
        <v>1248</v>
      </c>
    </row>
    <row r="71" spans="1:2" ht="14.4" x14ac:dyDescent="0.3">
      <c r="A71" s="137" t="s">
        <v>114</v>
      </c>
      <c r="B71" s="139" t="s">
        <v>1249</v>
      </c>
    </row>
    <row r="72" spans="1:2" ht="14.4" x14ac:dyDescent="0.3">
      <c r="A72" s="137" t="s">
        <v>115</v>
      </c>
      <c r="B72" s="139" t="s">
        <v>1250</v>
      </c>
    </row>
    <row r="73" spans="1:2" ht="14.4" x14ac:dyDescent="0.3">
      <c r="A73" s="137" t="s">
        <v>116</v>
      </c>
      <c r="B73" s="139" t="s">
        <v>1251</v>
      </c>
    </row>
    <row r="74" spans="1:2" ht="14.4" x14ac:dyDescent="0.3">
      <c r="A74" s="137" t="s">
        <v>117</v>
      </c>
      <c r="B74" s="139" t="s">
        <v>1252</v>
      </c>
    </row>
    <row r="75" spans="1:2" ht="14.4" x14ac:dyDescent="0.3">
      <c r="A75" s="137" t="s">
        <v>118</v>
      </c>
      <c r="B75" s="139" t="s">
        <v>1253</v>
      </c>
    </row>
    <row r="76" spans="1:2" ht="14.4" x14ac:dyDescent="0.3">
      <c r="A76" s="137" t="s">
        <v>119</v>
      </c>
      <c r="B76" s="139" t="s">
        <v>1254</v>
      </c>
    </row>
    <row r="77" spans="1:2" ht="14.4" x14ac:dyDescent="0.3">
      <c r="A77" s="137" t="s">
        <v>120</v>
      </c>
      <c r="B77" s="139" t="s">
        <v>1255</v>
      </c>
    </row>
    <row r="78" spans="1:2" ht="14.4" x14ac:dyDescent="0.3">
      <c r="A78" s="137" t="s">
        <v>121</v>
      </c>
      <c r="B78" s="139" t="s">
        <v>1256</v>
      </c>
    </row>
    <row r="79" spans="1:2" ht="14.4" x14ac:dyDescent="0.3">
      <c r="A79" s="137" t="s">
        <v>122</v>
      </c>
      <c r="B79" s="139" t="s">
        <v>1257</v>
      </c>
    </row>
    <row r="80" spans="1:2" ht="14.4" x14ac:dyDescent="0.3">
      <c r="A80" s="137" t="s">
        <v>123</v>
      </c>
      <c r="B80" s="139" t="s">
        <v>1258</v>
      </c>
    </row>
    <row r="81" spans="1:2" ht="14.4" x14ac:dyDescent="0.3">
      <c r="A81" s="137" t="s">
        <v>124</v>
      </c>
      <c r="B81" s="139" t="s">
        <v>1259</v>
      </c>
    </row>
    <row r="82" spans="1:2" ht="14.4" x14ac:dyDescent="0.3">
      <c r="A82" s="137" t="s">
        <v>125</v>
      </c>
      <c r="B82" s="139" t="s">
        <v>1260</v>
      </c>
    </row>
    <row r="83" spans="1:2" ht="14.4" x14ac:dyDescent="0.3">
      <c r="A83" s="137" t="s">
        <v>126</v>
      </c>
      <c r="B83" s="139" t="s">
        <v>1261</v>
      </c>
    </row>
    <row r="84" spans="1:2" ht="14.4" x14ac:dyDescent="0.3">
      <c r="A84" s="137" t="s">
        <v>127</v>
      </c>
      <c r="B84" s="139" t="s">
        <v>1262</v>
      </c>
    </row>
    <row r="85" spans="1:2" ht="14.4" x14ac:dyDescent="0.3">
      <c r="A85" s="137" t="s">
        <v>128</v>
      </c>
      <c r="B85" s="139" t="s">
        <v>1263</v>
      </c>
    </row>
    <row r="86" spans="1:2" ht="14.4" x14ac:dyDescent="0.3">
      <c r="A86" s="137" t="s">
        <v>129</v>
      </c>
      <c r="B86" s="139" t="s">
        <v>1264</v>
      </c>
    </row>
    <row r="87" spans="1:2" ht="14.4" x14ac:dyDescent="0.3">
      <c r="A87" s="137" t="s">
        <v>130</v>
      </c>
      <c r="B87" s="139" t="s">
        <v>1265</v>
      </c>
    </row>
    <row r="88" spans="1:2" ht="14.4" x14ac:dyDescent="0.3">
      <c r="A88" s="137" t="s">
        <v>131</v>
      </c>
      <c r="B88" s="139" t="s">
        <v>1266</v>
      </c>
    </row>
    <row r="89" spans="1:2" ht="14.4" x14ac:dyDescent="0.3">
      <c r="A89" s="137" t="s">
        <v>132</v>
      </c>
      <c r="B89" s="139" t="s">
        <v>1267</v>
      </c>
    </row>
    <row r="90" spans="1:2" ht="14.4" x14ac:dyDescent="0.3">
      <c r="A90" s="137" t="s">
        <v>133</v>
      </c>
      <c r="B90" s="139" t="s">
        <v>1268</v>
      </c>
    </row>
    <row r="91" spans="1:2" ht="14.4" x14ac:dyDescent="0.3">
      <c r="A91" s="137" t="s">
        <v>134</v>
      </c>
      <c r="B91" s="139" t="s">
        <v>1269</v>
      </c>
    </row>
    <row r="92" spans="1:2" ht="14.4" x14ac:dyDescent="0.3">
      <c r="A92" s="137" t="s">
        <v>135</v>
      </c>
      <c r="B92" s="139" t="s">
        <v>1270</v>
      </c>
    </row>
    <row r="93" spans="1:2" ht="14.4" x14ac:dyDescent="0.3">
      <c r="A93" s="137" t="s">
        <v>136</v>
      </c>
      <c r="B93" s="139" t="s">
        <v>1271</v>
      </c>
    </row>
    <row r="94" spans="1:2" ht="14.4" x14ac:dyDescent="0.3">
      <c r="A94" s="137" t="s">
        <v>137</v>
      </c>
      <c r="B94" s="139" t="s">
        <v>1272</v>
      </c>
    </row>
    <row r="95" spans="1:2" ht="14.4" x14ac:dyDescent="0.3">
      <c r="A95" s="137" t="s">
        <v>138</v>
      </c>
      <c r="B95" s="139" t="s">
        <v>1273</v>
      </c>
    </row>
    <row r="96" spans="1:2" ht="14.4" x14ac:dyDescent="0.3">
      <c r="A96" s="137" t="s">
        <v>139</v>
      </c>
      <c r="B96" s="139" t="s">
        <v>1274</v>
      </c>
    </row>
    <row r="97" spans="1:2" ht="14.4" x14ac:dyDescent="0.3">
      <c r="A97" s="137" t="s">
        <v>140</v>
      </c>
      <c r="B97" s="139" t="s">
        <v>1275</v>
      </c>
    </row>
    <row r="98" spans="1:2" ht="14.4" x14ac:dyDescent="0.3">
      <c r="A98" s="137" t="s">
        <v>141</v>
      </c>
      <c r="B98" s="139" t="s">
        <v>1276</v>
      </c>
    </row>
    <row r="99" spans="1:2" ht="14.4" x14ac:dyDescent="0.3">
      <c r="A99" s="137" t="s">
        <v>142</v>
      </c>
      <c r="B99" s="139" t="s">
        <v>1277</v>
      </c>
    </row>
    <row r="100" spans="1:2" ht="14.4" x14ac:dyDescent="0.3">
      <c r="A100" s="137" t="s">
        <v>143</v>
      </c>
      <c r="B100" s="139" t="s">
        <v>1278</v>
      </c>
    </row>
    <row r="101" spans="1:2" ht="14.4" x14ac:dyDescent="0.3">
      <c r="A101" s="137" t="s">
        <v>144</v>
      </c>
      <c r="B101" s="139" t="s">
        <v>1279</v>
      </c>
    </row>
    <row r="102" spans="1:2" ht="14.4" x14ac:dyDescent="0.3">
      <c r="A102" s="137" t="s">
        <v>145</v>
      </c>
      <c r="B102" s="139" t="s">
        <v>1280</v>
      </c>
    </row>
    <row r="103" spans="1:2" ht="14.4" x14ac:dyDescent="0.3">
      <c r="A103" s="137" t="s">
        <v>146</v>
      </c>
      <c r="B103" s="139" t="s">
        <v>1281</v>
      </c>
    </row>
    <row r="104" spans="1:2" ht="14.4" x14ac:dyDescent="0.3">
      <c r="A104" s="137" t="s">
        <v>147</v>
      </c>
      <c r="B104" s="139" t="s">
        <v>1282</v>
      </c>
    </row>
    <row r="105" spans="1:2" ht="14.4" x14ac:dyDescent="0.3">
      <c r="A105" s="137" t="s">
        <v>148</v>
      </c>
      <c r="B105" s="139" t="s">
        <v>1283</v>
      </c>
    </row>
    <row r="106" spans="1:2" ht="14.4" x14ac:dyDescent="0.3">
      <c r="A106" s="137" t="s">
        <v>149</v>
      </c>
      <c r="B106" s="139" t="s">
        <v>1284</v>
      </c>
    </row>
    <row r="107" spans="1:2" ht="14.4" x14ac:dyDescent="0.3">
      <c r="A107" s="137" t="s">
        <v>150</v>
      </c>
      <c r="B107" s="139" t="s">
        <v>1285</v>
      </c>
    </row>
    <row r="108" spans="1:2" ht="14.4" x14ac:dyDescent="0.3">
      <c r="A108" s="137" t="s">
        <v>151</v>
      </c>
      <c r="B108" s="139" t="s">
        <v>1286</v>
      </c>
    </row>
    <row r="109" spans="1:2" ht="14.4" x14ac:dyDescent="0.3">
      <c r="A109" s="137" t="s">
        <v>152</v>
      </c>
      <c r="B109" s="139" t="s">
        <v>1287</v>
      </c>
    </row>
    <row r="110" spans="1:2" ht="14.4" x14ac:dyDescent="0.3">
      <c r="A110" s="137" t="s">
        <v>153</v>
      </c>
      <c r="B110" s="139" t="s">
        <v>1288</v>
      </c>
    </row>
    <row r="111" spans="1:2" ht="14.4" x14ac:dyDescent="0.3">
      <c r="A111" s="137" t="s">
        <v>154</v>
      </c>
      <c r="B111" s="139" t="s">
        <v>1289</v>
      </c>
    </row>
    <row r="112" spans="1:2" ht="14.4" x14ac:dyDescent="0.3">
      <c r="A112" s="137" t="s">
        <v>155</v>
      </c>
      <c r="B112" s="139" t="s">
        <v>1290</v>
      </c>
    </row>
    <row r="113" spans="1:2" ht="14.4" x14ac:dyDescent="0.3">
      <c r="A113" s="137" t="s">
        <v>156</v>
      </c>
      <c r="B113" s="139" t="s">
        <v>1291</v>
      </c>
    </row>
    <row r="114" spans="1:2" ht="14.4" x14ac:dyDescent="0.3">
      <c r="A114" s="137" t="s">
        <v>157</v>
      </c>
      <c r="B114" s="139" t="s">
        <v>1292</v>
      </c>
    </row>
    <row r="115" spans="1:2" ht="14.4" x14ac:dyDescent="0.3">
      <c r="A115" s="137" t="s">
        <v>158</v>
      </c>
      <c r="B115" s="139" t="s">
        <v>1293</v>
      </c>
    </row>
    <row r="116" spans="1:2" ht="14.4" x14ac:dyDescent="0.3">
      <c r="A116" s="137" t="s">
        <v>159</v>
      </c>
      <c r="B116" s="139" t="s">
        <v>1294</v>
      </c>
    </row>
    <row r="117" spans="1:2" ht="14.4" x14ac:dyDescent="0.3">
      <c r="A117" s="137" t="s">
        <v>160</v>
      </c>
      <c r="B117" s="139" t="s">
        <v>1629</v>
      </c>
    </row>
    <row r="118" spans="1:2" ht="14.4" x14ac:dyDescent="0.3">
      <c r="A118" s="137" t="s">
        <v>161</v>
      </c>
      <c r="B118" s="139" t="s">
        <v>1295</v>
      </c>
    </row>
    <row r="119" spans="1:2" ht="14.4" x14ac:dyDescent="0.3">
      <c r="A119" s="137" t="s">
        <v>162</v>
      </c>
      <c r="B119" s="139" t="s">
        <v>1296</v>
      </c>
    </row>
    <row r="120" spans="1:2" ht="14.4" x14ac:dyDescent="0.3">
      <c r="A120" s="137" t="s">
        <v>163</v>
      </c>
      <c r="B120" s="139" t="s">
        <v>1297</v>
      </c>
    </row>
    <row r="121" spans="1:2" ht="14.4" x14ac:dyDescent="0.3">
      <c r="A121" s="137" t="s">
        <v>164</v>
      </c>
      <c r="B121" s="139" t="s">
        <v>1298</v>
      </c>
    </row>
    <row r="122" spans="1:2" ht="14.4" x14ac:dyDescent="0.3">
      <c r="A122" s="137" t="s">
        <v>165</v>
      </c>
      <c r="B122" s="139" t="s">
        <v>1299</v>
      </c>
    </row>
    <row r="123" spans="1:2" ht="14.4" x14ac:dyDescent="0.3">
      <c r="A123" s="137" t="s">
        <v>166</v>
      </c>
      <c r="B123" s="139" t="s">
        <v>1300</v>
      </c>
    </row>
    <row r="124" spans="1:2" ht="14.4" x14ac:dyDescent="0.3">
      <c r="A124" s="137" t="s">
        <v>167</v>
      </c>
      <c r="B124" s="139" t="s">
        <v>1301</v>
      </c>
    </row>
    <row r="125" spans="1:2" ht="14.4" x14ac:dyDescent="0.3">
      <c r="A125" s="137" t="s">
        <v>168</v>
      </c>
      <c r="B125" s="139" t="s">
        <v>1302</v>
      </c>
    </row>
    <row r="126" spans="1:2" ht="14.4" x14ac:dyDescent="0.3">
      <c r="A126" s="137" t="s">
        <v>169</v>
      </c>
      <c r="B126" s="139" t="s">
        <v>1303</v>
      </c>
    </row>
    <row r="127" spans="1:2" ht="14.4" x14ac:dyDescent="0.3">
      <c r="A127" s="137" t="s">
        <v>170</v>
      </c>
      <c r="B127" s="139" t="s">
        <v>1304</v>
      </c>
    </row>
    <row r="128" spans="1:2" ht="14.4" x14ac:dyDescent="0.3">
      <c r="A128" s="137" t="s">
        <v>171</v>
      </c>
      <c r="B128" s="139" t="s">
        <v>1305</v>
      </c>
    </row>
    <row r="129" spans="1:2" ht="14.4" x14ac:dyDescent="0.3">
      <c r="A129" s="137" t="s">
        <v>172</v>
      </c>
      <c r="B129" s="139" t="s">
        <v>1306</v>
      </c>
    </row>
    <row r="130" spans="1:2" ht="14.4" x14ac:dyDescent="0.3">
      <c r="A130" s="137" t="s">
        <v>173</v>
      </c>
      <c r="B130" s="139" t="s">
        <v>1307</v>
      </c>
    </row>
    <row r="131" spans="1:2" ht="14.4" x14ac:dyDescent="0.3">
      <c r="A131" s="137" t="s">
        <v>174</v>
      </c>
      <c r="B131" s="139" t="s">
        <v>1308</v>
      </c>
    </row>
    <row r="132" spans="1:2" ht="14.4" x14ac:dyDescent="0.3">
      <c r="A132" s="137" t="s">
        <v>175</v>
      </c>
      <c r="B132" s="139" t="s">
        <v>1309</v>
      </c>
    </row>
    <row r="133" spans="1:2" ht="14.4" x14ac:dyDescent="0.3">
      <c r="A133" s="137" t="s">
        <v>176</v>
      </c>
      <c r="B133" s="139" t="s">
        <v>1310</v>
      </c>
    </row>
    <row r="134" spans="1:2" ht="14.4" x14ac:dyDescent="0.3">
      <c r="A134" s="137" t="s">
        <v>177</v>
      </c>
      <c r="B134" s="139" t="s">
        <v>1311</v>
      </c>
    </row>
    <row r="135" spans="1:2" ht="14.4" x14ac:dyDescent="0.3">
      <c r="A135" s="137" t="s">
        <v>178</v>
      </c>
      <c r="B135" s="139" t="s">
        <v>1312</v>
      </c>
    </row>
    <row r="136" spans="1:2" ht="14.4" x14ac:dyDescent="0.3">
      <c r="A136" s="137" t="s">
        <v>179</v>
      </c>
      <c r="B136" s="139" t="s">
        <v>1313</v>
      </c>
    </row>
    <row r="137" spans="1:2" ht="14.4" x14ac:dyDescent="0.3">
      <c r="A137" s="137" t="s">
        <v>180</v>
      </c>
      <c r="B137" s="139" t="s">
        <v>1314</v>
      </c>
    </row>
    <row r="138" spans="1:2" ht="14.4" x14ac:dyDescent="0.3">
      <c r="A138" s="137" t="s">
        <v>181</v>
      </c>
      <c r="B138" s="139" t="s">
        <v>1315</v>
      </c>
    </row>
    <row r="139" spans="1:2" ht="14.4" x14ac:dyDescent="0.3">
      <c r="A139" s="137" t="s">
        <v>182</v>
      </c>
      <c r="B139" s="139" t="s">
        <v>1316</v>
      </c>
    </row>
    <row r="140" spans="1:2" ht="14.4" x14ac:dyDescent="0.3">
      <c r="A140" s="137" t="s">
        <v>183</v>
      </c>
      <c r="B140" s="139" t="s">
        <v>1317</v>
      </c>
    </row>
    <row r="141" spans="1:2" ht="14.4" x14ac:dyDescent="0.3">
      <c r="A141" s="137" t="s">
        <v>184</v>
      </c>
      <c r="B141" s="139" t="s">
        <v>1318</v>
      </c>
    </row>
    <row r="142" spans="1:2" ht="14.4" x14ac:dyDescent="0.3">
      <c r="A142" s="137" t="s">
        <v>185</v>
      </c>
      <c r="B142" s="139" t="s">
        <v>1319</v>
      </c>
    </row>
    <row r="143" spans="1:2" ht="14.4" x14ac:dyDescent="0.3">
      <c r="A143" s="137" t="s">
        <v>186</v>
      </c>
      <c r="B143" s="139" t="s">
        <v>1320</v>
      </c>
    </row>
    <row r="144" spans="1:2" ht="14.4" x14ac:dyDescent="0.3">
      <c r="A144" s="137" t="s">
        <v>187</v>
      </c>
      <c r="B144" s="139" t="s">
        <v>1321</v>
      </c>
    </row>
    <row r="145" spans="1:2" ht="14.4" x14ac:dyDescent="0.3">
      <c r="A145" s="137" t="s">
        <v>188</v>
      </c>
      <c r="B145" s="139" t="s">
        <v>1322</v>
      </c>
    </row>
    <row r="146" spans="1:2" ht="14.4" x14ac:dyDescent="0.3">
      <c r="A146" s="137" t="s">
        <v>189</v>
      </c>
      <c r="B146" s="139" t="s">
        <v>1323</v>
      </c>
    </row>
    <row r="147" spans="1:2" ht="14.4" x14ac:dyDescent="0.3">
      <c r="A147" s="137" t="s">
        <v>190</v>
      </c>
      <c r="B147" s="139" t="s">
        <v>1324</v>
      </c>
    </row>
    <row r="148" spans="1:2" ht="14.4" x14ac:dyDescent="0.3">
      <c r="A148" s="137" t="s">
        <v>191</v>
      </c>
      <c r="B148" s="139" t="s">
        <v>1325</v>
      </c>
    </row>
    <row r="149" spans="1:2" ht="14.4" x14ac:dyDescent="0.3">
      <c r="A149" s="137" t="s">
        <v>192</v>
      </c>
      <c r="B149" s="139" t="s">
        <v>1326</v>
      </c>
    </row>
    <row r="150" spans="1:2" ht="14.4" x14ac:dyDescent="0.3">
      <c r="A150" s="137" t="s">
        <v>193</v>
      </c>
      <c r="B150" s="139" t="s">
        <v>1327</v>
      </c>
    </row>
    <row r="151" spans="1:2" ht="14.4" x14ac:dyDescent="0.3">
      <c r="A151" s="137" t="s">
        <v>194</v>
      </c>
      <c r="B151" s="139" t="s">
        <v>1328</v>
      </c>
    </row>
    <row r="152" spans="1:2" ht="14.4" x14ac:dyDescent="0.3">
      <c r="A152" s="137" t="s">
        <v>195</v>
      </c>
      <c r="B152" s="139" t="s">
        <v>1329</v>
      </c>
    </row>
    <row r="153" spans="1:2" ht="14.4" x14ac:dyDescent="0.3">
      <c r="A153" s="137" t="s">
        <v>196</v>
      </c>
      <c r="B153" s="139" t="s">
        <v>1330</v>
      </c>
    </row>
    <row r="154" spans="1:2" ht="14.4" x14ac:dyDescent="0.3">
      <c r="A154" s="137" t="s">
        <v>197</v>
      </c>
      <c r="B154" s="139" t="s">
        <v>1331</v>
      </c>
    </row>
    <row r="155" spans="1:2" ht="14.4" x14ac:dyDescent="0.3">
      <c r="A155" s="137" t="s">
        <v>198</v>
      </c>
      <c r="B155" s="139" t="s">
        <v>1332</v>
      </c>
    </row>
    <row r="156" spans="1:2" ht="14.4" x14ac:dyDescent="0.3">
      <c r="A156" s="137" t="s">
        <v>199</v>
      </c>
      <c r="B156" s="139" t="s">
        <v>1333</v>
      </c>
    </row>
    <row r="157" spans="1:2" ht="14.4" x14ac:dyDescent="0.3">
      <c r="A157" s="137" t="s">
        <v>200</v>
      </c>
      <c r="B157" s="139" t="s">
        <v>1334</v>
      </c>
    </row>
    <row r="158" spans="1:2" ht="14.4" x14ac:dyDescent="0.3">
      <c r="A158" s="137" t="s">
        <v>201</v>
      </c>
      <c r="B158" s="139" t="s">
        <v>1335</v>
      </c>
    </row>
    <row r="159" spans="1:2" ht="14.4" x14ac:dyDescent="0.3">
      <c r="A159" s="137" t="s">
        <v>202</v>
      </c>
      <c r="B159" s="139" t="s">
        <v>1336</v>
      </c>
    </row>
    <row r="160" spans="1:2" ht="14.4" x14ac:dyDescent="0.3">
      <c r="A160" s="137" t="s">
        <v>203</v>
      </c>
      <c r="B160" s="139" t="s">
        <v>1337</v>
      </c>
    </row>
    <row r="161" spans="1:2" ht="14.4" x14ac:dyDescent="0.3">
      <c r="A161" s="137" t="s">
        <v>204</v>
      </c>
      <c r="B161" s="139" t="s">
        <v>1338</v>
      </c>
    </row>
    <row r="162" spans="1:2" ht="14.4" x14ac:dyDescent="0.3">
      <c r="A162" s="137" t="s">
        <v>205</v>
      </c>
      <c r="B162" s="139" t="s">
        <v>1339</v>
      </c>
    </row>
    <row r="163" spans="1:2" ht="14.4" x14ac:dyDescent="0.3">
      <c r="A163" s="137" t="s">
        <v>206</v>
      </c>
      <c r="B163" s="139" t="s">
        <v>1340</v>
      </c>
    </row>
    <row r="164" spans="1:2" ht="14.4" x14ac:dyDescent="0.3">
      <c r="A164" s="137" t="s">
        <v>207</v>
      </c>
      <c r="B164" s="139" t="s">
        <v>1341</v>
      </c>
    </row>
    <row r="165" spans="1:2" ht="14.4" x14ac:dyDescent="0.3">
      <c r="A165" s="137" t="s">
        <v>208</v>
      </c>
      <c r="B165" s="139" t="s">
        <v>1342</v>
      </c>
    </row>
    <row r="166" spans="1:2" ht="14.4" x14ac:dyDescent="0.3">
      <c r="A166" s="137" t="s">
        <v>209</v>
      </c>
      <c r="B166" s="139" t="s">
        <v>1343</v>
      </c>
    </row>
    <row r="167" spans="1:2" ht="14.4" x14ac:dyDescent="0.3">
      <c r="A167" s="137" t="s">
        <v>210</v>
      </c>
      <c r="B167" s="139" t="s">
        <v>1344</v>
      </c>
    </row>
    <row r="168" spans="1:2" ht="14.4" x14ac:dyDescent="0.3">
      <c r="A168" s="137" t="s">
        <v>211</v>
      </c>
      <c r="B168" s="139" t="s">
        <v>1345</v>
      </c>
    </row>
    <row r="169" spans="1:2" ht="14.4" x14ac:dyDescent="0.3">
      <c r="A169" s="137" t="s">
        <v>212</v>
      </c>
      <c r="B169" s="139" t="s">
        <v>1346</v>
      </c>
    </row>
    <row r="170" spans="1:2" ht="14.4" x14ac:dyDescent="0.3">
      <c r="A170" s="137" t="s">
        <v>213</v>
      </c>
      <c r="B170" s="139" t="s">
        <v>1347</v>
      </c>
    </row>
    <row r="171" spans="1:2" ht="14.4" x14ac:dyDescent="0.3">
      <c r="A171" s="137" t="s">
        <v>214</v>
      </c>
      <c r="B171" s="139" t="s">
        <v>1348</v>
      </c>
    </row>
    <row r="172" spans="1:2" ht="14.4" x14ac:dyDescent="0.3">
      <c r="A172" s="137" t="s">
        <v>215</v>
      </c>
      <c r="B172" s="139" t="s">
        <v>1349</v>
      </c>
    </row>
    <row r="173" spans="1:2" ht="14.4" x14ac:dyDescent="0.3">
      <c r="A173" s="137" t="s">
        <v>216</v>
      </c>
      <c r="B173" s="139" t="s">
        <v>1350</v>
      </c>
    </row>
    <row r="174" spans="1:2" ht="14.4" x14ac:dyDescent="0.3">
      <c r="A174" s="137" t="s">
        <v>217</v>
      </c>
      <c r="B174" s="139" t="s">
        <v>1351</v>
      </c>
    </row>
    <row r="175" spans="1:2" ht="14.4" x14ac:dyDescent="0.3">
      <c r="A175" s="137" t="s">
        <v>218</v>
      </c>
      <c r="B175" s="139" t="s">
        <v>1352</v>
      </c>
    </row>
    <row r="176" spans="1:2" ht="14.4" x14ac:dyDescent="0.3">
      <c r="A176" s="137" t="s">
        <v>219</v>
      </c>
      <c r="B176" s="139" t="s">
        <v>1353</v>
      </c>
    </row>
    <row r="177" spans="1:2" ht="14.4" x14ac:dyDescent="0.3">
      <c r="A177" s="137" t="s">
        <v>220</v>
      </c>
      <c r="B177" s="139" t="s">
        <v>1354</v>
      </c>
    </row>
    <row r="178" spans="1:2" ht="14.4" x14ac:dyDescent="0.3">
      <c r="A178" s="137" t="s">
        <v>221</v>
      </c>
      <c r="B178" s="139" t="s">
        <v>1355</v>
      </c>
    </row>
    <row r="179" spans="1:2" ht="14.4" x14ac:dyDescent="0.3">
      <c r="A179" s="137" t="s">
        <v>222</v>
      </c>
      <c r="B179" s="139" t="s">
        <v>1356</v>
      </c>
    </row>
    <row r="180" spans="1:2" ht="14.4" x14ac:dyDescent="0.3">
      <c r="A180" s="137" t="s">
        <v>223</v>
      </c>
      <c r="B180" s="139" t="s">
        <v>1357</v>
      </c>
    </row>
    <row r="181" spans="1:2" ht="14.4" x14ac:dyDescent="0.3">
      <c r="A181" s="137" t="s">
        <v>224</v>
      </c>
      <c r="B181" s="139" t="s">
        <v>1358</v>
      </c>
    </row>
    <row r="182" spans="1:2" ht="14.4" x14ac:dyDescent="0.3">
      <c r="A182" s="137" t="s">
        <v>225</v>
      </c>
      <c r="B182" s="139" t="s">
        <v>1359</v>
      </c>
    </row>
    <row r="183" spans="1:2" ht="14.4" x14ac:dyDescent="0.3">
      <c r="A183" s="137" t="s">
        <v>226</v>
      </c>
      <c r="B183" s="139" t="s">
        <v>1360</v>
      </c>
    </row>
    <row r="184" spans="1:2" ht="14.4" x14ac:dyDescent="0.3">
      <c r="A184" s="137" t="s">
        <v>227</v>
      </c>
      <c r="B184" s="139" t="s">
        <v>1361</v>
      </c>
    </row>
    <row r="185" spans="1:2" ht="14.4" x14ac:dyDescent="0.3">
      <c r="A185" s="137" t="s">
        <v>228</v>
      </c>
      <c r="B185" s="139" t="s">
        <v>1362</v>
      </c>
    </row>
    <row r="186" spans="1:2" ht="14.4" x14ac:dyDescent="0.3">
      <c r="A186" s="137" t="s">
        <v>229</v>
      </c>
      <c r="B186" s="139" t="s">
        <v>1363</v>
      </c>
    </row>
    <row r="187" spans="1:2" ht="14.4" x14ac:dyDescent="0.3">
      <c r="A187" s="137" t="s">
        <v>230</v>
      </c>
      <c r="B187" s="139" t="s">
        <v>1364</v>
      </c>
    </row>
    <row r="188" spans="1:2" ht="14.4" x14ac:dyDescent="0.3">
      <c r="A188" s="137" t="s">
        <v>231</v>
      </c>
      <c r="B188" s="139" t="s">
        <v>1365</v>
      </c>
    </row>
    <row r="189" spans="1:2" ht="14.4" x14ac:dyDescent="0.3">
      <c r="A189" s="137" t="s">
        <v>232</v>
      </c>
      <c r="B189" s="139" t="s">
        <v>1366</v>
      </c>
    </row>
    <row r="190" spans="1:2" ht="14.4" x14ac:dyDescent="0.3">
      <c r="A190" s="137" t="s">
        <v>233</v>
      </c>
      <c r="B190" s="139" t="s">
        <v>1367</v>
      </c>
    </row>
    <row r="191" spans="1:2" ht="14.4" x14ac:dyDescent="0.3">
      <c r="A191" s="137" t="s">
        <v>234</v>
      </c>
      <c r="B191" s="139" t="s">
        <v>1368</v>
      </c>
    </row>
    <row r="192" spans="1:2" ht="14.4" x14ac:dyDescent="0.3">
      <c r="A192" s="137" t="s">
        <v>235</v>
      </c>
      <c r="B192" s="139" t="s">
        <v>1369</v>
      </c>
    </row>
    <row r="193" spans="1:2" ht="14.4" x14ac:dyDescent="0.3">
      <c r="A193" s="137" t="s">
        <v>236</v>
      </c>
      <c r="B193" s="139" t="s">
        <v>1370</v>
      </c>
    </row>
    <row r="194" spans="1:2" ht="14.4" x14ac:dyDescent="0.3">
      <c r="A194" s="137" t="s">
        <v>237</v>
      </c>
      <c r="B194" s="139" t="s">
        <v>1371</v>
      </c>
    </row>
    <row r="195" spans="1:2" ht="14.4" x14ac:dyDescent="0.3">
      <c r="A195" s="137" t="s">
        <v>238</v>
      </c>
      <c r="B195" s="139" t="s">
        <v>1372</v>
      </c>
    </row>
    <row r="196" spans="1:2" ht="14.4" x14ac:dyDescent="0.3">
      <c r="A196" s="137" t="s">
        <v>239</v>
      </c>
      <c r="B196" s="139" t="s">
        <v>1373</v>
      </c>
    </row>
    <row r="197" spans="1:2" ht="14.4" x14ac:dyDescent="0.3">
      <c r="A197" s="137" t="s">
        <v>240</v>
      </c>
      <c r="B197" s="139" t="s">
        <v>1374</v>
      </c>
    </row>
    <row r="198" spans="1:2" ht="14.4" x14ac:dyDescent="0.3">
      <c r="A198" s="137" t="s">
        <v>241</v>
      </c>
      <c r="B198" s="139" t="s">
        <v>1375</v>
      </c>
    </row>
    <row r="199" spans="1:2" ht="14.4" x14ac:dyDescent="0.3">
      <c r="A199" s="137" t="s">
        <v>242</v>
      </c>
      <c r="B199" s="139" t="s">
        <v>1376</v>
      </c>
    </row>
    <row r="200" spans="1:2" ht="14.4" x14ac:dyDescent="0.3">
      <c r="A200" s="137" t="s">
        <v>243</v>
      </c>
      <c r="B200" s="139" t="s">
        <v>1377</v>
      </c>
    </row>
    <row r="201" spans="1:2" ht="14.4" x14ac:dyDescent="0.3">
      <c r="A201" s="137" t="s">
        <v>244</v>
      </c>
      <c r="B201" s="139" t="s">
        <v>1378</v>
      </c>
    </row>
    <row r="202" spans="1:2" ht="14.4" x14ac:dyDescent="0.3">
      <c r="A202" s="137" t="s">
        <v>245</v>
      </c>
      <c r="B202" s="139" t="s">
        <v>1379</v>
      </c>
    </row>
    <row r="203" spans="1:2" ht="14.4" x14ac:dyDescent="0.3">
      <c r="A203" s="137" t="s">
        <v>246</v>
      </c>
      <c r="B203" s="139" t="s">
        <v>1380</v>
      </c>
    </row>
    <row r="204" spans="1:2" ht="14.4" x14ac:dyDescent="0.3">
      <c r="A204" s="137" t="s">
        <v>247</v>
      </c>
      <c r="B204" s="139" t="s">
        <v>1381</v>
      </c>
    </row>
    <row r="205" spans="1:2" ht="14.4" x14ac:dyDescent="0.3">
      <c r="A205" s="137" t="s">
        <v>248</v>
      </c>
      <c r="B205" s="139" t="s">
        <v>1382</v>
      </c>
    </row>
    <row r="206" spans="1:2" ht="14.4" x14ac:dyDescent="0.3">
      <c r="A206" s="137" t="s">
        <v>249</v>
      </c>
      <c r="B206" s="139" t="s">
        <v>1383</v>
      </c>
    </row>
    <row r="207" spans="1:2" ht="14.4" x14ac:dyDescent="0.3">
      <c r="A207" s="137" t="s">
        <v>250</v>
      </c>
      <c r="B207" s="139" t="s">
        <v>1384</v>
      </c>
    </row>
    <row r="208" spans="1:2" ht="14.4" x14ac:dyDescent="0.3">
      <c r="A208" s="137" t="s">
        <v>251</v>
      </c>
      <c r="B208" s="139" t="s">
        <v>1385</v>
      </c>
    </row>
    <row r="209" spans="1:2" ht="14.4" x14ac:dyDescent="0.3">
      <c r="A209" s="137" t="s">
        <v>252</v>
      </c>
      <c r="B209" s="139" t="s">
        <v>1386</v>
      </c>
    </row>
    <row r="210" spans="1:2" ht="14.4" x14ac:dyDescent="0.3">
      <c r="A210" s="137" t="s">
        <v>253</v>
      </c>
      <c r="B210" s="139" t="s">
        <v>1387</v>
      </c>
    </row>
    <row r="211" spans="1:2" ht="14.4" x14ac:dyDescent="0.3">
      <c r="A211" s="137" t="s">
        <v>254</v>
      </c>
      <c r="B211" s="139" t="s">
        <v>1388</v>
      </c>
    </row>
    <row r="212" spans="1:2" ht="14.4" x14ac:dyDescent="0.3">
      <c r="A212" s="137" t="s">
        <v>255</v>
      </c>
      <c r="B212" s="139" t="s">
        <v>1389</v>
      </c>
    </row>
    <row r="213" spans="1:2" ht="14.4" x14ac:dyDescent="0.3">
      <c r="A213" s="137" t="s">
        <v>256</v>
      </c>
      <c r="B213" s="139" t="s">
        <v>1390</v>
      </c>
    </row>
    <row r="214" spans="1:2" ht="14.4" x14ac:dyDescent="0.3">
      <c r="A214" s="137" t="s">
        <v>257</v>
      </c>
      <c r="B214" s="139" t="s">
        <v>1391</v>
      </c>
    </row>
    <row r="215" spans="1:2" ht="14.4" x14ac:dyDescent="0.3">
      <c r="A215" s="137" t="s">
        <v>258</v>
      </c>
      <c r="B215" s="139" t="s">
        <v>1392</v>
      </c>
    </row>
    <row r="216" spans="1:2" ht="14.4" x14ac:dyDescent="0.3">
      <c r="A216" s="137" t="s">
        <v>259</v>
      </c>
      <c r="B216" s="139" t="s">
        <v>1393</v>
      </c>
    </row>
    <row r="217" spans="1:2" ht="14.4" x14ac:dyDescent="0.3">
      <c r="A217" s="137" t="s">
        <v>260</v>
      </c>
      <c r="B217" s="139" t="s">
        <v>1394</v>
      </c>
    </row>
    <row r="218" spans="1:2" ht="14.4" x14ac:dyDescent="0.3">
      <c r="A218" s="137" t="s">
        <v>261</v>
      </c>
      <c r="B218" s="139" t="s">
        <v>1395</v>
      </c>
    </row>
    <row r="219" spans="1:2" ht="14.4" x14ac:dyDescent="0.3">
      <c r="A219" s="137" t="s">
        <v>262</v>
      </c>
      <c r="B219" s="139" t="s">
        <v>1396</v>
      </c>
    </row>
    <row r="220" spans="1:2" ht="14.4" x14ac:dyDescent="0.3">
      <c r="A220" s="137" t="s">
        <v>263</v>
      </c>
      <c r="B220" s="139" t="s">
        <v>1397</v>
      </c>
    </row>
    <row r="221" spans="1:2" ht="14.4" x14ac:dyDescent="0.3">
      <c r="A221" s="137" t="s">
        <v>264</v>
      </c>
      <c r="B221" s="139" t="s">
        <v>1398</v>
      </c>
    </row>
    <row r="222" spans="1:2" ht="14.4" x14ac:dyDescent="0.3">
      <c r="A222" s="137" t="s">
        <v>265</v>
      </c>
      <c r="B222" s="139" t="s">
        <v>1399</v>
      </c>
    </row>
    <row r="223" spans="1:2" ht="14.4" x14ac:dyDescent="0.3">
      <c r="A223" s="137" t="s">
        <v>266</v>
      </c>
      <c r="B223" s="139" t="s">
        <v>1400</v>
      </c>
    </row>
    <row r="224" spans="1:2" ht="14.4" x14ac:dyDescent="0.3">
      <c r="A224" s="137" t="s">
        <v>267</v>
      </c>
      <c r="B224" s="139" t="s">
        <v>1401</v>
      </c>
    </row>
    <row r="225" spans="1:2" ht="14.4" x14ac:dyDescent="0.3">
      <c r="A225" s="137" t="s">
        <v>268</v>
      </c>
      <c r="B225" s="139" t="s">
        <v>1402</v>
      </c>
    </row>
    <row r="226" spans="1:2" ht="14.4" x14ac:dyDescent="0.3">
      <c r="A226" s="137" t="s">
        <v>269</v>
      </c>
      <c r="B226" s="139" t="s">
        <v>1403</v>
      </c>
    </row>
    <row r="227" spans="1:2" ht="14.4" x14ac:dyDescent="0.3">
      <c r="A227" s="137" t="s">
        <v>270</v>
      </c>
      <c r="B227" s="139" t="s">
        <v>1404</v>
      </c>
    </row>
    <row r="228" spans="1:2" ht="14.4" x14ac:dyDescent="0.3">
      <c r="A228" s="137" t="s">
        <v>271</v>
      </c>
      <c r="B228" s="139" t="s">
        <v>1405</v>
      </c>
    </row>
    <row r="229" spans="1:2" ht="14.4" x14ac:dyDescent="0.3">
      <c r="A229" s="137" t="s">
        <v>272</v>
      </c>
      <c r="B229" s="139" t="s">
        <v>1406</v>
      </c>
    </row>
    <row r="230" spans="1:2" ht="14.4" x14ac:dyDescent="0.3">
      <c r="A230" s="137" t="s">
        <v>273</v>
      </c>
      <c r="B230" s="139" t="s">
        <v>1407</v>
      </c>
    </row>
    <row r="231" spans="1:2" ht="14.4" x14ac:dyDescent="0.3">
      <c r="A231" s="137" t="s">
        <v>274</v>
      </c>
      <c r="B231" s="139" t="s">
        <v>1408</v>
      </c>
    </row>
    <row r="232" spans="1:2" ht="14.4" x14ac:dyDescent="0.3">
      <c r="A232" s="137" t="s">
        <v>275</v>
      </c>
      <c r="B232" s="139" t="s">
        <v>1409</v>
      </c>
    </row>
    <row r="233" spans="1:2" ht="14.4" x14ac:dyDescent="0.3">
      <c r="A233" s="137" t="s">
        <v>276</v>
      </c>
      <c r="B233" s="139" t="s">
        <v>1410</v>
      </c>
    </row>
    <row r="234" spans="1:2" ht="14.4" x14ac:dyDescent="0.3">
      <c r="A234" s="137" t="s">
        <v>277</v>
      </c>
      <c r="B234" s="139" t="s">
        <v>1411</v>
      </c>
    </row>
    <row r="235" spans="1:2" ht="14.4" x14ac:dyDescent="0.3">
      <c r="A235" s="137" t="s">
        <v>278</v>
      </c>
      <c r="B235" s="139" t="s">
        <v>1412</v>
      </c>
    </row>
    <row r="236" spans="1:2" ht="14.4" x14ac:dyDescent="0.3">
      <c r="A236" s="137" t="s">
        <v>279</v>
      </c>
      <c r="B236" s="139" t="s">
        <v>1413</v>
      </c>
    </row>
    <row r="237" spans="1:2" ht="14.4" x14ac:dyDescent="0.3">
      <c r="A237" s="137" t="s">
        <v>280</v>
      </c>
      <c r="B237" s="139" t="s">
        <v>1414</v>
      </c>
    </row>
    <row r="238" spans="1:2" ht="14.4" x14ac:dyDescent="0.3">
      <c r="A238" s="137" t="s">
        <v>281</v>
      </c>
      <c r="B238" s="139" t="s">
        <v>1415</v>
      </c>
    </row>
    <row r="239" spans="1:2" ht="14.4" x14ac:dyDescent="0.3">
      <c r="A239" s="137" t="s">
        <v>282</v>
      </c>
      <c r="B239" s="139" t="s">
        <v>1416</v>
      </c>
    </row>
    <row r="240" spans="1:2" ht="14.4" x14ac:dyDescent="0.3">
      <c r="A240" s="137" t="s">
        <v>283</v>
      </c>
      <c r="B240" s="139" t="s">
        <v>1417</v>
      </c>
    </row>
    <row r="241" spans="1:2" ht="14.4" x14ac:dyDescent="0.3">
      <c r="A241" s="137" t="s">
        <v>284</v>
      </c>
      <c r="B241" s="139" t="s">
        <v>1418</v>
      </c>
    </row>
    <row r="242" spans="1:2" ht="14.4" x14ac:dyDescent="0.3">
      <c r="A242" s="137" t="s">
        <v>285</v>
      </c>
      <c r="B242" s="139" t="s">
        <v>1419</v>
      </c>
    </row>
    <row r="243" spans="1:2" ht="14.4" x14ac:dyDescent="0.3">
      <c r="A243" s="137" t="s">
        <v>286</v>
      </c>
      <c r="B243" s="139" t="s">
        <v>1420</v>
      </c>
    </row>
    <row r="244" spans="1:2" ht="14.4" x14ac:dyDescent="0.3">
      <c r="A244" s="137" t="s">
        <v>287</v>
      </c>
      <c r="B244" s="139" t="s">
        <v>1421</v>
      </c>
    </row>
    <row r="245" spans="1:2" ht="14.4" x14ac:dyDescent="0.3">
      <c r="A245" s="137" t="s">
        <v>288</v>
      </c>
      <c r="B245" s="139" t="s">
        <v>1422</v>
      </c>
    </row>
    <row r="246" spans="1:2" ht="14.4" x14ac:dyDescent="0.3">
      <c r="A246" s="137" t="s">
        <v>289</v>
      </c>
      <c r="B246" s="139" t="s">
        <v>1423</v>
      </c>
    </row>
    <row r="247" spans="1:2" ht="14.4" x14ac:dyDescent="0.3">
      <c r="A247" s="137" t="s">
        <v>290</v>
      </c>
      <c r="B247" s="139" t="s">
        <v>1424</v>
      </c>
    </row>
    <row r="248" spans="1:2" ht="14.4" x14ac:dyDescent="0.3">
      <c r="A248" s="137" t="s">
        <v>291</v>
      </c>
      <c r="B248" s="139" t="s">
        <v>1425</v>
      </c>
    </row>
    <row r="249" spans="1:2" ht="14.4" x14ac:dyDescent="0.3">
      <c r="A249" s="137" t="s">
        <v>292</v>
      </c>
      <c r="B249" s="139" t="s">
        <v>1426</v>
      </c>
    </row>
    <row r="250" spans="1:2" ht="14.4" x14ac:dyDescent="0.3">
      <c r="A250" s="137" t="s">
        <v>293</v>
      </c>
      <c r="B250" s="139" t="s">
        <v>1427</v>
      </c>
    </row>
    <row r="251" spans="1:2" ht="14.4" x14ac:dyDescent="0.3">
      <c r="A251" s="137" t="s">
        <v>294</v>
      </c>
      <c r="B251" s="139" t="s">
        <v>1428</v>
      </c>
    </row>
    <row r="252" spans="1:2" ht="14.4" x14ac:dyDescent="0.3">
      <c r="A252" s="137" t="s">
        <v>295</v>
      </c>
      <c r="B252" s="139" t="s">
        <v>1429</v>
      </c>
    </row>
    <row r="253" spans="1:2" ht="14.4" x14ac:dyDescent="0.3">
      <c r="A253" s="137" t="s">
        <v>296</v>
      </c>
      <c r="B253" s="139" t="s">
        <v>1430</v>
      </c>
    </row>
    <row r="254" spans="1:2" ht="14.4" x14ac:dyDescent="0.3">
      <c r="A254" s="137" t="s">
        <v>297</v>
      </c>
      <c r="B254" s="139" t="s">
        <v>1431</v>
      </c>
    </row>
    <row r="255" spans="1:2" ht="14.4" x14ac:dyDescent="0.3">
      <c r="A255" s="137" t="s">
        <v>298</v>
      </c>
      <c r="B255" s="139" t="s">
        <v>1432</v>
      </c>
    </row>
    <row r="256" spans="1:2" ht="14.4" x14ac:dyDescent="0.3">
      <c r="A256" s="137" t="s">
        <v>299</v>
      </c>
      <c r="B256" s="139" t="s">
        <v>1433</v>
      </c>
    </row>
    <row r="257" spans="1:2" ht="14.4" x14ac:dyDescent="0.3">
      <c r="A257" s="137" t="s">
        <v>300</v>
      </c>
      <c r="B257" s="139" t="s">
        <v>1434</v>
      </c>
    </row>
    <row r="258" spans="1:2" ht="14.4" x14ac:dyDescent="0.3">
      <c r="A258" s="137" t="s">
        <v>301</v>
      </c>
      <c r="B258" s="139" t="s">
        <v>1435</v>
      </c>
    </row>
    <row r="259" spans="1:2" ht="14.4" x14ac:dyDescent="0.3">
      <c r="A259" s="137" t="s">
        <v>302</v>
      </c>
      <c r="B259" s="139" t="s">
        <v>1436</v>
      </c>
    </row>
    <row r="260" spans="1:2" ht="14.4" x14ac:dyDescent="0.3">
      <c r="A260" s="137" t="s">
        <v>303</v>
      </c>
      <c r="B260" s="139" t="s">
        <v>1437</v>
      </c>
    </row>
    <row r="261" spans="1:2" ht="14.4" x14ac:dyDescent="0.3">
      <c r="A261" s="137" t="s">
        <v>38</v>
      </c>
      <c r="B261" s="139" t="s">
        <v>1438</v>
      </c>
    </row>
    <row r="262" spans="1:2" ht="14.4" x14ac:dyDescent="0.3">
      <c r="A262" s="137" t="s">
        <v>304</v>
      </c>
      <c r="B262" s="139" t="s">
        <v>1439</v>
      </c>
    </row>
    <row r="263" spans="1:2" ht="14.4" x14ac:dyDescent="0.3">
      <c r="A263" s="137" t="s">
        <v>305</v>
      </c>
      <c r="B263" s="139" t="s">
        <v>1440</v>
      </c>
    </row>
    <row r="264" spans="1:2" ht="14.4" x14ac:dyDescent="0.3">
      <c r="A264" s="137" t="s">
        <v>306</v>
      </c>
      <c r="B264" s="139" t="s">
        <v>1441</v>
      </c>
    </row>
    <row r="265" spans="1:2" ht="14.4" x14ac:dyDescent="0.3">
      <c r="A265" s="137" t="s">
        <v>307</v>
      </c>
      <c r="B265" s="139" t="s">
        <v>1442</v>
      </c>
    </row>
    <row r="266" spans="1:2" ht="14.4" x14ac:dyDescent="0.3">
      <c r="A266" s="137" t="s">
        <v>308</v>
      </c>
      <c r="B266" s="139" t="s">
        <v>1443</v>
      </c>
    </row>
    <row r="267" spans="1:2" ht="14.4" x14ac:dyDescent="0.3">
      <c r="A267" s="137" t="s">
        <v>309</v>
      </c>
      <c r="B267" s="139" t="s">
        <v>1444</v>
      </c>
    </row>
    <row r="268" spans="1:2" ht="14.4" x14ac:dyDescent="0.3">
      <c r="A268" s="137" t="s">
        <v>310</v>
      </c>
      <c r="B268" s="139" t="s">
        <v>1445</v>
      </c>
    </row>
    <row r="269" spans="1:2" ht="14.4" x14ac:dyDescent="0.3">
      <c r="A269" s="137" t="s">
        <v>311</v>
      </c>
      <c r="B269" s="139" t="s">
        <v>1446</v>
      </c>
    </row>
    <row r="270" spans="1:2" ht="14.4" x14ac:dyDescent="0.3">
      <c r="A270" s="137" t="s">
        <v>312</v>
      </c>
      <c r="B270" s="139" t="s">
        <v>1447</v>
      </c>
    </row>
    <row r="271" spans="1:2" ht="14.4" x14ac:dyDescent="0.3">
      <c r="A271" s="137" t="s">
        <v>313</v>
      </c>
      <c r="B271" s="139" t="s">
        <v>1448</v>
      </c>
    </row>
    <row r="272" spans="1:2" ht="14.4" x14ac:dyDescent="0.3">
      <c r="A272" s="137" t="s">
        <v>314</v>
      </c>
      <c r="B272" s="139" t="s">
        <v>1449</v>
      </c>
    </row>
    <row r="273" spans="1:2" ht="14.4" x14ac:dyDescent="0.3">
      <c r="A273" s="137" t="s">
        <v>315</v>
      </c>
      <c r="B273" s="139" t="s">
        <v>1450</v>
      </c>
    </row>
    <row r="274" spans="1:2" ht="14.4" x14ac:dyDescent="0.3">
      <c r="A274" s="137" t="s">
        <v>316</v>
      </c>
      <c r="B274" s="139" t="s">
        <v>1451</v>
      </c>
    </row>
    <row r="275" spans="1:2" ht="14.4" x14ac:dyDescent="0.3">
      <c r="A275" s="137" t="s">
        <v>317</v>
      </c>
      <c r="B275" s="139" t="s">
        <v>1452</v>
      </c>
    </row>
    <row r="276" spans="1:2" ht="14.4" x14ac:dyDescent="0.3">
      <c r="A276" s="137" t="s">
        <v>318</v>
      </c>
      <c r="B276" s="139" t="s">
        <v>1453</v>
      </c>
    </row>
    <row r="277" spans="1:2" ht="14.4" x14ac:dyDescent="0.3">
      <c r="A277" s="137" t="s">
        <v>319</v>
      </c>
      <c r="B277" s="139" t="s">
        <v>1454</v>
      </c>
    </row>
    <row r="278" spans="1:2" ht="14.4" x14ac:dyDescent="0.3">
      <c r="A278" s="137" t="s">
        <v>320</v>
      </c>
      <c r="B278" s="139" t="s">
        <v>1455</v>
      </c>
    </row>
    <row r="279" spans="1:2" ht="14.4" x14ac:dyDescent="0.3">
      <c r="A279" s="137" t="s">
        <v>321</v>
      </c>
      <c r="B279" s="139" t="s">
        <v>1456</v>
      </c>
    </row>
    <row r="280" spans="1:2" ht="14.4" x14ac:dyDescent="0.3">
      <c r="A280" s="137" t="s">
        <v>322</v>
      </c>
      <c r="B280" s="139" t="s">
        <v>1457</v>
      </c>
    </row>
    <row r="281" spans="1:2" ht="14.4" x14ac:dyDescent="0.3">
      <c r="A281" s="137" t="s">
        <v>323</v>
      </c>
      <c r="B281" s="139" t="s">
        <v>1458</v>
      </c>
    </row>
    <row r="282" spans="1:2" ht="14.4" x14ac:dyDescent="0.3">
      <c r="A282" s="137" t="s">
        <v>324</v>
      </c>
      <c r="B282" s="139" t="s">
        <v>1459</v>
      </c>
    </row>
    <row r="283" spans="1:2" ht="14.4" x14ac:dyDescent="0.3">
      <c r="A283" s="137" t="s">
        <v>325</v>
      </c>
      <c r="B283" s="139" t="s">
        <v>1460</v>
      </c>
    </row>
    <row r="284" spans="1:2" ht="14.4" x14ac:dyDescent="0.3">
      <c r="A284" s="137" t="s">
        <v>326</v>
      </c>
      <c r="B284" s="139" t="s">
        <v>1461</v>
      </c>
    </row>
    <row r="285" spans="1:2" ht="14.4" x14ac:dyDescent="0.3">
      <c r="A285" s="137" t="s">
        <v>327</v>
      </c>
      <c r="B285" s="139" t="s">
        <v>1462</v>
      </c>
    </row>
    <row r="286" spans="1:2" ht="14.4" x14ac:dyDescent="0.3">
      <c r="A286" s="137" t="s">
        <v>328</v>
      </c>
      <c r="B286" s="139" t="s">
        <v>1463</v>
      </c>
    </row>
    <row r="287" spans="1:2" ht="14.4" x14ac:dyDescent="0.3">
      <c r="A287" s="137" t="s">
        <v>329</v>
      </c>
      <c r="B287" s="139" t="s">
        <v>1464</v>
      </c>
    </row>
    <row r="288" spans="1:2" ht="14.4" x14ac:dyDescent="0.3">
      <c r="A288" s="137" t="s">
        <v>330</v>
      </c>
      <c r="B288" s="139" t="s">
        <v>1465</v>
      </c>
    </row>
    <row r="289" spans="1:2" ht="14.4" x14ac:dyDescent="0.3">
      <c r="A289" s="137" t="s">
        <v>331</v>
      </c>
      <c r="B289" s="139" t="s">
        <v>1466</v>
      </c>
    </row>
    <row r="290" spans="1:2" ht="14.4" x14ac:dyDescent="0.3">
      <c r="A290" s="137" t="s">
        <v>332</v>
      </c>
      <c r="B290" s="139" t="s">
        <v>1467</v>
      </c>
    </row>
    <row r="291" spans="1:2" ht="14.4" x14ac:dyDescent="0.3">
      <c r="A291" s="137" t="s">
        <v>333</v>
      </c>
      <c r="B291" s="139" t="s">
        <v>1468</v>
      </c>
    </row>
    <row r="292" spans="1:2" ht="14.4" x14ac:dyDescent="0.3">
      <c r="A292" s="137" t="s">
        <v>334</v>
      </c>
      <c r="B292" s="139" t="s">
        <v>1469</v>
      </c>
    </row>
    <row r="293" spans="1:2" ht="14.4" x14ac:dyDescent="0.3">
      <c r="A293" s="137" t="s">
        <v>335</v>
      </c>
      <c r="B293" s="139" t="s">
        <v>1470</v>
      </c>
    </row>
    <row r="294" spans="1:2" ht="14.4" x14ac:dyDescent="0.3">
      <c r="A294" s="137" t="s">
        <v>336</v>
      </c>
      <c r="B294" s="139" t="s">
        <v>1471</v>
      </c>
    </row>
    <row r="295" spans="1:2" ht="14.4" x14ac:dyDescent="0.3">
      <c r="A295" s="137" t="s">
        <v>337</v>
      </c>
      <c r="B295" s="139" t="s">
        <v>1472</v>
      </c>
    </row>
    <row r="296" spans="1:2" ht="14.4" x14ac:dyDescent="0.3">
      <c r="A296" s="137" t="s">
        <v>338</v>
      </c>
      <c r="B296" s="139" t="s">
        <v>1473</v>
      </c>
    </row>
    <row r="297" spans="1:2" ht="14.4" x14ac:dyDescent="0.3">
      <c r="A297" s="137" t="s">
        <v>339</v>
      </c>
      <c r="B297" s="139" t="s">
        <v>1474</v>
      </c>
    </row>
    <row r="298" spans="1:2" ht="14.4" x14ac:dyDescent="0.3">
      <c r="A298" s="137" t="s">
        <v>340</v>
      </c>
      <c r="B298" s="139" t="s">
        <v>1475</v>
      </c>
    </row>
    <row r="299" spans="1:2" ht="14.4" x14ac:dyDescent="0.3">
      <c r="A299" s="137" t="s">
        <v>341</v>
      </c>
      <c r="B299" s="139" t="s">
        <v>1476</v>
      </c>
    </row>
    <row r="300" spans="1:2" ht="14.4" x14ac:dyDescent="0.3">
      <c r="A300" s="137" t="s">
        <v>342</v>
      </c>
      <c r="B300" s="139" t="s">
        <v>1477</v>
      </c>
    </row>
    <row r="301" spans="1:2" ht="14.4" x14ac:dyDescent="0.3">
      <c r="A301" s="137" t="s">
        <v>343</v>
      </c>
      <c r="B301" s="139" t="s">
        <v>1478</v>
      </c>
    </row>
    <row r="302" spans="1:2" ht="14.4" x14ac:dyDescent="0.3">
      <c r="A302" s="137" t="s">
        <v>344</v>
      </c>
      <c r="B302" s="139" t="s">
        <v>1479</v>
      </c>
    </row>
    <row r="303" spans="1:2" ht="14.4" x14ac:dyDescent="0.3">
      <c r="A303" s="137" t="s">
        <v>345</v>
      </c>
      <c r="B303" s="139" t="s">
        <v>1480</v>
      </c>
    </row>
    <row r="304" spans="1:2" ht="14.4" x14ac:dyDescent="0.3">
      <c r="A304" s="137" t="s">
        <v>346</v>
      </c>
      <c r="B304" s="139" t="s">
        <v>1481</v>
      </c>
    </row>
    <row r="305" spans="1:2" ht="14.4" x14ac:dyDescent="0.3">
      <c r="A305" s="137" t="s">
        <v>347</v>
      </c>
      <c r="B305" s="139" t="s">
        <v>1482</v>
      </c>
    </row>
    <row r="306" spans="1:2" ht="14.4" x14ac:dyDescent="0.3">
      <c r="A306" s="137" t="s">
        <v>348</v>
      </c>
      <c r="B306" s="139" t="s">
        <v>1483</v>
      </c>
    </row>
    <row r="307" spans="1:2" ht="14.4" x14ac:dyDescent="0.3">
      <c r="A307" s="137" t="s">
        <v>349</v>
      </c>
      <c r="B307" s="139" t="s">
        <v>1484</v>
      </c>
    </row>
    <row r="308" spans="1:2" ht="14.4" x14ac:dyDescent="0.3">
      <c r="A308" s="137" t="s">
        <v>350</v>
      </c>
      <c r="B308" s="139" t="s">
        <v>1485</v>
      </c>
    </row>
    <row r="309" spans="1:2" ht="14.4" x14ac:dyDescent="0.3">
      <c r="A309" s="137" t="s">
        <v>351</v>
      </c>
      <c r="B309" s="139" t="s">
        <v>1486</v>
      </c>
    </row>
    <row r="310" spans="1:2" ht="14.4" x14ac:dyDescent="0.3">
      <c r="A310" s="137" t="s">
        <v>352</v>
      </c>
      <c r="B310" s="139" t="s">
        <v>1487</v>
      </c>
    </row>
    <row r="311" spans="1:2" ht="14.4" x14ac:dyDescent="0.3">
      <c r="A311" s="137" t="s">
        <v>353</v>
      </c>
      <c r="B311" s="139" t="s">
        <v>1488</v>
      </c>
    </row>
    <row r="312" spans="1:2" ht="14.4" x14ac:dyDescent="0.3">
      <c r="A312" s="137" t="s">
        <v>39</v>
      </c>
      <c r="B312" s="139" t="s">
        <v>1489</v>
      </c>
    </row>
    <row r="313" spans="1:2" ht="14.4" x14ac:dyDescent="0.3">
      <c r="A313" s="137" t="s">
        <v>354</v>
      </c>
      <c r="B313" s="139" t="s">
        <v>1490</v>
      </c>
    </row>
    <row r="314" spans="1:2" ht="14.4" x14ac:dyDescent="0.3">
      <c r="A314" s="137" t="s">
        <v>355</v>
      </c>
      <c r="B314" s="139" t="s">
        <v>1491</v>
      </c>
    </row>
    <row r="315" spans="1:2" ht="14.4" x14ac:dyDescent="0.3">
      <c r="A315" s="137" t="s">
        <v>40</v>
      </c>
      <c r="B315" s="139" t="s">
        <v>1492</v>
      </c>
    </row>
    <row r="316" spans="1:2" ht="14.4" x14ac:dyDescent="0.3">
      <c r="A316" s="137" t="s">
        <v>356</v>
      </c>
      <c r="B316" s="139" t="s">
        <v>1493</v>
      </c>
    </row>
    <row r="317" spans="1:2" ht="14.4" x14ac:dyDescent="0.3">
      <c r="A317" s="137" t="s">
        <v>357</v>
      </c>
      <c r="B317" s="139" t="s">
        <v>1494</v>
      </c>
    </row>
    <row r="318" spans="1:2" ht="14.4" x14ac:dyDescent="0.3">
      <c r="A318" s="137" t="s">
        <v>358</v>
      </c>
      <c r="B318" s="139" t="s">
        <v>1495</v>
      </c>
    </row>
    <row r="319" spans="1:2" ht="14.4" x14ac:dyDescent="0.3">
      <c r="A319" s="137" t="s">
        <v>359</v>
      </c>
      <c r="B319" s="139" t="s">
        <v>1496</v>
      </c>
    </row>
    <row r="320" spans="1:2" ht="14.4" x14ac:dyDescent="0.3">
      <c r="A320" s="137" t="s">
        <v>360</v>
      </c>
      <c r="B320" s="139" t="s">
        <v>1497</v>
      </c>
    </row>
    <row r="321" spans="1:2" ht="14.4" x14ac:dyDescent="0.3">
      <c r="A321" s="137" t="s">
        <v>361</v>
      </c>
      <c r="B321" s="139" t="s">
        <v>1498</v>
      </c>
    </row>
    <row r="322" spans="1:2" ht="14.4" x14ac:dyDescent="0.3">
      <c r="A322" s="137" t="s">
        <v>362</v>
      </c>
      <c r="B322" s="139" t="s">
        <v>1499</v>
      </c>
    </row>
    <row r="323" spans="1:2" ht="14.4" x14ac:dyDescent="0.3">
      <c r="A323" s="137" t="s">
        <v>363</v>
      </c>
      <c r="B323" s="139" t="s">
        <v>1500</v>
      </c>
    </row>
    <row r="324" spans="1:2" ht="14.4" x14ac:dyDescent="0.3">
      <c r="A324" s="137" t="s">
        <v>364</v>
      </c>
      <c r="B324" s="139" t="s">
        <v>1501</v>
      </c>
    </row>
    <row r="325" spans="1:2" ht="14.4" x14ac:dyDescent="0.3">
      <c r="A325" s="137" t="s">
        <v>365</v>
      </c>
      <c r="B325" s="139" t="s">
        <v>1502</v>
      </c>
    </row>
    <row r="326" spans="1:2" ht="14.4" x14ac:dyDescent="0.3">
      <c r="A326" s="137" t="s">
        <v>366</v>
      </c>
      <c r="B326" s="139" t="s">
        <v>1503</v>
      </c>
    </row>
    <row r="327" spans="1:2" ht="14.4" x14ac:dyDescent="0.3">
      <c r="A327" s="137" t="s">
        <v>367</v>
      </c>
      <c r="B327" s="139" t="s">
        <v>1504</v>
      </c>
    </row>
    <row r="328" spans="1:2" ht="14.4" x14ac:dyDescent="0.3">
      <c r="A328" s="137" t="s">
        <v>368</v>
      </c>
      <c r="B328" s="139" t="s">
        <v>1505</v>
      </c>
    </row>
    <row r="329" spans="1:2" ht="14.4" x14ac:dyDescent="0.3">
      <c r="A329" s="137" t="s">
        <v>369</v>
      </c>
      <c r="B329" s="139" t="s">
        <v>1506</v>
      </c>
    </row>
    <row r="330" spans="1:2" ht="14.4" x14ac:dyDescent="0.3">
      <c r="A330" s="137" t="s">
        <v>370</v>
      </c>
      <c r="B330" s="139" t="s">
        <v>1507</v>
      </c>
    </row>
    <row r="331" spans="1:2" ht="14.4" x14ac:dyDescent="0.3">
      <c r="A331" s="137" t="s">
        <v>371</v>
      </c>
      <c r="B331" s="139" t="s">
        <v>1508</v>
      </c>
    </row>
    <row r="332" spans="1:2" ht="14.4" x14ac:dyDescent="0.3">
      <c r="A332" s="137" t="s">
        <v>372</v>
      </c>
      <c r="B332" s="139" t="s">
        <v>1509</v>
      </c>
    </row>
    <row r="333" spans="1:2" ht="14.4" x14ac:dyDescent="0.3">
      <c r="A333" s="137" t="s">
        <v>373</v>
      </c>
      <c r="B333" s="139" t="s">
        <v>1510</v>
      </c>
    </row>
    <row r="334" spans="1:2" ht="14.4" x14ac:dyDescent="0.3">
      <c r="A334" s="137" t="s">
        <v>374</v>
      </c>
      <c r="B334" s="139" t="s">
        <v>1511</v>
      </c>
    </row>
    <row r="335" spans="1:2" ht="14.4" x14ac:dyDescent="0.3">
      <c r="A335" s="137" t="s">
        <v>375</v>
      </c>
      <c r="B335" s="139" t="s">
        <v>1512</v>
      </c>
    </row>
    <row r="336" spans="1:2" ht="14.4" x14ac:dyDescent="0.3">
      <c r="A336" s="137" t="s">
        <v>376</v>
      </c>
      <c r="B336" s="139" t="s">
        <v>1513</v>
      </c>
    </row>
    <row r="337" spans="1:2" ht="14.4" x14ac:dyDescent="0.3">
      <c r="A337" s="137" t="s">
        <v>377</v>
      </c>
      <c r="B337" s="139" t="s">
        <v>1514</v>
      </c>
    </row>
    <row r="338" spans="1:2" ht="14.4" x14ac:dyDescent="0.3">
      <c r="A338" s="137" t="s">
        <v>378</v>
      </c>
      <c r="B338" s="139" t="s">
        <v>1515</v>
      </c>
    </row>
    <row r="339" spans="1:2" ht="14.4" x14ac:dyDescent="0.3">
      <c r="A339" s="137" t="s">
        <v>379</v>
      </c>
      <c r="B339" s="139" t="s">
        <v>1516</v>
      </c>
    </row>
    <row r="340" spans="1:2" ht="14.4" x14ac:dyDescent="0.3">
      <c r="A340" s="137" t="s">
        <v>380</v>
      </c>
      <c r="B340" s="139" t="s">
        <v>1517</v>
      </c>
    </row>
    <row r="341" spans="1:2" ht="14.4" x14ac:dyDescent="0.3">
      <c r="A341" s="137" t="s">
        <v>381</v>
      </c>
      <c r="B341" s="139" t="s">
        <v>1518</v>
      </c>
    </row>
    <row r="342" spans="1:2" ht="14.4" x14ac:dyDescent="0.3">
      <c r="A342" s="137" t="s">
        <v>382</v>
      </c>
      <c r="B342" s="139" t="s">
        <v>1519</v>
      </c>
    </row>
    <row r="343" spans="1:2" ht="14.4" x14ac:dyDescent="0.3">
      <c r="A343" s="137" t="s">
        <v>383</v>
      </c>
      <c r="B343" s="139" t="s">
        <v>1520</v>
      </c>
    </row>
    <row r="344" spans="1:2" ht="14.4" x14ac:dyDescent="0.3">
      <c r="A344" s="137" t="s">
        <v>384</v>
      </c>
      <c r="B344" s="139" t="s">
        <v>1521</v>
      </c>
    </row>
    <row r="345" spans="1:2" ht="14.4" x14ac:dyDescent="0.3">
      <c r="A345" s="137" t="s">
        <v>385</v>
      </c>
      <c r="B345" s="139" t="s">
        <v>1522</v>
      </c>
    </row>
    <row r="346" spans="1:2" ht="14.4" x14ac:dyDescent="0.3">
      <c r="A346" s="137" t="s">
        <v>386</v>
      </c>
      <c r="B346" s="139" t="s">
        <v>1523</v>
      </c>
    </row>
    <row r="347" spans="1:2" ht="14.4" x14ac:dyDescent="0.3">
      <c r="A347" s="137" t="s">
        <v>387</v>
      </c>
      <c r="B347" s="139" t="s">
        <v>1524</v>
      </c>
    </row>
    <row r="348" spans="1:2" ht="14.4" x14ac:dyDescent="0.3">
      <c r="A348" s="137" t="s">
        <v>388</v>
      </c>
      <c r="B348" s="139" t="s">
        <v>1525</v>
      </c>
    </row>
    <row r="349" spans="1:2" ht="14.4" x14ac:dyDescent="0.3">
      <c r="A349" s="137" t="s">
        <v>389</v>
      </c>
      <c r="B349" s="139" t="s">
        <v>1526</v>
      </c>
    </row>
    <row r="350" spans="1:2" ht="14.4" x14ac:dyDescent="0.3">
      <c r="A350" s="137" t="s">
        <v>390</v>
      </c>
      <c r="B350" s="139" t="s">
        <v>1527</v>
      </c>
    </row>
    <row r="351" spans="1:2" ht="14.4" x14ac:dyDescent="0.3">
      <c r="A351" s="137" t="s">
        <v>391</v>
      </c>
      <c r="B351" s="139" t="s">
        <v>1528</v>
      </c>
    </row>
    <row r="352" spans="1:2" ht="14.4" x14ac:dyDescent="0.3">
      <c r="A352" s="137" t="s">
        <v>392</v>
      </c>
      <c r="B352" s="139" t="s">
        <v>1529</v>
      </c>
    </row>
    <row r="353" spans="1:2" ht="14.4" x14ac:dyDescent="0.3">
      <c r="A353" s="137" t="s">
        <v>393</v>
      </c>
      <c r="B353" s="139" t="s">
        <v>1530</v>
      </c>
    </row>
    <row r="354" spans="1:2" ht="14.4" x14ac:dyDescent="0.3">
      <c r="A354" s="137" t="s">
        <v>394</v>
      </c>
      <c r="B354" s="139" t="s">
        <v>1531</v>
      </c>
    </row>
    <row r="355" spans="1:2" ht="14.4" x14ac:dyDescent="0.3">
      <c r="A355" s="137" t="s">
        <v>395</v>
      </c>
      <c r="B355" s="139" t="s">
        <v>1532</v>
      </c>
    </row>
    <row r="356" spans="1:2" ht="14.4" x14ac:dyDescent="0.3">
      <c r="A356" s="137" t="s">
        <v>396</v>
      </c>
      <c r="B356" s="139" t="s">
        <v>1533</v>
      </c>
    </row>
    <row r="357" spans="1:2" ht="14.4" x14ac:dyDescent="0.3">
      <c r="A357" s="137" t="s">
        <v>397</v>
      </c>
      <c r="B357" s="139" t="s">
        <v>1534</v>
      </c>
    </row>
    <row r="358" spans="1:2" ht="14.4" x14ac:dyDescent="0.3">
      <c r="A358" s="137" t="s">
        <v>398</v>
      </c>
      <c r="B358" s="139" t="s">
        <v>1535</v>
      </c>
    </row>
    <row r="359" spans="1:2" ht="14.4" x14ac:dyDescent="0.3">
      <c r="A359" s="137" t="s">
        <v>399</v>
      </c>
      <c r="B359" s="139" t="s">
        <v>1536</v>
      </c>
    </row>
    <row r="360" spans="1:2" ht="14.4" x14ac:dyDescent="0.3">
      <c r="A360" s="137" t="s">
        <v>400</v>
      </c>
      <c r="B360" s="139" t="s">
        <v>1537</v>
      </c>
    </row>
    <row r="361" spans="1:2" ht="14.4" x14ac:dyDescent="0.3">
      <c r="A361" s="137" t="s">
        <v>401</v>
      </c>
      <c r="B361" s="139" t="s">
        <v>1538</v>
      </c>
    </row>
    <row r="362" spans="1:2" ht="14.4" x14ac:dyDescent="0.3">
      <c r="A362" s="137" t="s">
        <v>402</v>
      </c>
      <c r="B362" s="139" t="s">
        <v>1539</v>
      </c>
    </row>
    <row r="363" spans="1:2" ht="14.4" x14ac:dyDescent="0.3">
      <c r="A363" s="137" t="s">
        <v>403</v>
      </c>
      <c r="B363" s="139" t="s">
        <v>1540</v>
      </c>
    </row>
    <row r="364" spans="1:2" x14ac:dyDescent="0.3">
      <c r="A364" s="138" t="s">
        <v>1628</v>
      </c>
      <c r="B364" s="139">
        <v>1234</v>
      </c>
    </row>
  </sheetData>
  <sheetProtection algorithmName="SHA-512" hashValue="77IGeDqaxheicBd8C8A0HehvJbeHXdvtz0o69c5TDKuc3Yrhhcc9olSyM3nsv7kKXL/hk7CckaRVlUGSd2kEQA==" saltValue="BJvZd2pXCmaTzsPeTd8qxg==" spinCount="100000" sheet="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9" tint="0.59999389629810485"/>
  </sheetPr>
  <dimension ref="A1:M1801"/>
  <sheetViews>
    <sheetView topLeftCell="B1" zoomScale="80" zoomScaleNormal="80" workbookViewId="0">
      <pane ySplit="3" topLeftCell="A734" activePane="bottomLeft" state="frozen"/>
      <selection activeCell="P393" sqref="P393"/>
      <selection pane="bottomLeft" activeCell="F756" sqref="F756"/>
    </sheetView>
  </sheetViews>
  <sheetFormatPr defaultColWidth="8.88671875" defaultRowHeight="13.95" customHeight="1" zeroHeight="1" x14ac:dyDescent="0.3"/>
  <cols>
    <col min="1" max="1" width="2.33203125" style="49" customWidth="1"/>
    <col min="2" max="2" width="2.33203125" style="53" customWidth="1"/>
    <col min="3" max="3" width="2.33203125" style="57" customWidth="1"/>
    <col min="4" max="4" width="2.33203125" customWidth="1"/>
    <col min="5" max="5" width="2.33203125" style="53" customWidth="1"/>
    <col min="6" max="6" width="67.33203125" customWidth="1"/>
    <col min="7" max="7" width="12.109375" customWidth="1"/>
    <col min="10" max="10" width="12.6640625" customWidth="1"/>
    <col min="11" max="11" width="14.44140625" customWidth="1"/>
  </cols>
  <sheetData>
    <row r="1" spans="1:11" s="5" customFormat="1" ht="14.4" x14ac:dyDescent="0.3">
      <c r="A1" s="4" t="s">
        <v>34</v>
      </c>
      <c r="B1" s="50"/>
      <c r="C1" s="54"/>
      <c r="E1" s="50"/>
    </row>
    <row r="2" spans="1:11" s="5" customFormat="1" ht="14.4" x14ac:dyDescent="0.3">
      <c r="A2" s="4"/>
      <c r="B2" s="50"/>
      <c r="C2" s="54"/>
      <c r="E2" s="50"/>
    </row>
    <row r="3" spans="1:11" s="5" customFormat="1" ht="14.4" x14ac:dyDescent="0.3">
      <c r="A3" s="4"/>
      <c r="B3" s="50"/>
      <c r="C3" s="54"/>
      <c r="E3" s="50"/>
      <c r="F3" s="5" t="s">
        <v>21</v>
      </c>
      <c r="G3" s="5" t="s">
        <v>22</v>
      </c>
      <c r="H3" s="5" t="s">
        <v>23</v>
      </c>
      <c r="J3" s="5" t="s">
        <v>26</v>
      </c>
      <c r="K3" s="5" t="s">
        <v>27</v>
      </c>
    </row>
    <row r="4" spans="1:11" s="9" customFormat="1" ht="14.4" x14ac:dyDescent="0.3">
      <c r="A4" s="8"/>
      <c r="B4" s="51"/>
      <c r="C4" s="55"/>
      <c r="E4" s="51"/>
    </row>
    <row r="5" spans="1:11" s="44" customFormat="1" ht="13.95" customHeight="1" x14ac:dyDescent="0.3">
      <c r="A5" s="45" t="s">
        <v>422</v>
      </c>
      <c r="B5" s="52"/>
      <c r="C5" s="56"/>
      <c r="E5" s="52"/>
    </row>
    <row r="6" spans="1:11" ht="13.95" customHeight="1" x14ac:dyDescent="0.3">
      <c r="F6" s="43"/>
    </row>
    <row r="7" spans="1:11" ht="13.95" customHeight="1" x14ac:dyDescent="0.3">
      <c r="F7" t="s">
        <v>423</v>
      </c>
      <c r="G7" s="46">
        <f xml:space="preserve"> Dashboard!B$9</f>
        <v>1</v>
      </c>
      <c r="H7" t="s">
        <v>424</v>
      </c>
    </row>
    <row r="8" spans="1:11" ht="1.95" customHeight="1" x14ac:dyDescent="0.3"/>
    <row r="9" spans="1:11" ht="13.95" customHeight="1" x14ac:dyDescent="0.3">
      <c r="F9" t="s">
        <v>425</v>
      </c>
      <c r="G9">
        <f>IF(G7=1,1,0)</f>
        <v>1</v>
      </c>
      <c r="H9" t="s">
        <v>427</v>
      </c>
    </row>
    <row r="10" spans="1:11" ht="13.95" customHeight="1" x14ac:dyDescent="0.3">
      <c r="F10" t="s">
        <v>426</v>
      </c>
      <c r="G10">
        <f>IF(G7=2,1,0)</f>
        <v>0</v>
      </c>
      <c r="H10" t="s">
        <v>427</v>
      </c>
    </row>
    <row r="11" spans="1:11" ht="13.95" customHeight="1" x14ac:dyDescent="0.3"/>
    <row r="12" spans="1:11" ht="13.95" customHeight="1" x14ac:dyDescent="0.3">
      <c r="B12" s="53" t="s">
        <v>430</v>
      </c>
    </row>
    <row r="13" spans="1:11" ht="13.95" customHeight="1" x14ac:dyDescent="0.3">
      <c r="C13" s="57" t="s">
        <v>428</v>
      </c>
    </row>
    <row r="14" spans="1:11" ht="13.95" customHeight="1" x14ac:dyDescent="0.3">
      <c r="D14" t="s">
        <v>6</v>
      </c>
    </row>
    <row r="15" spans="1:11" ht="13.95" customHeight="1" x14ac:dyDescent="0.3">
      <c r="F15" s="46" t="str">
        <f xml:space="preserve"> Dashboard!D$3</f>
        <v>Selecteer gemeente</v>
      </c>
      <c r="G15" s="46" t="str">
        <f xml:space="preserve"> Dashboard!F$3</f>
        <v>Folderdam</v>
      </c>
    </row>
    <row r="16" spans="1:11" ht="13.95" customHeight="1" x14ac:dyDescent="0.3">
      <c r="F16" s="46" t="str">
        <f xml:space="preserve"> Dashboard!D$16</f>
        <v>Aantal woningen gemeente</v>
      </c>
      <c r="G16" s="46">
        <f xml:space="preserve"> Dashboard!F$16</f>
        <v>60000</v>
      </c>
    </row>
    <row r="17" spans="4:7" ht="13.95" customHeight="1" x14ac:dyDescent="0.3">
      <c r="D17" t="s">
        <v>8</v>
      </c>
      <c r="F17" s="46"/>
      <c r="G17" s="46"/>
    </row>
    <row r="18" spans="4:7" ht="13.95" customHeight="1" x14ac:dyDescent="0.3">
      <c r="F18" s="46" t="str">
        <f xml:space="preserve"> Dashboard!D$21</f>
        <v>% brievenbussen Nee/Nee-sticker</v>
      </c>
      <c r="G18" s="47">
        <f xml:space="preserve"> Dashboard!F$21</f>
        <v>0.15</v>
      </c>
    </row>
    <row r="19" spans="4:7" ht="13.95" customHeight="1" x14ac:dyDescent="0.3">
      <c r="F19" s="46" t="str">
        <f xml:space="preserve"> Dashboard!D$22</f>
        <v>% brievenbussen Ja/Ja-sticker</v>
      </c>
      <c r="G19" s="47">
        <f xml:space="preserve"> Dashboard!F$22</f>
        <v>0</v>
      </c>
    </row>
    <row r="20" spans="4:7" ht="13.95" customHeight="1" x14ac:dyDescent="0.3">
      <c r="F20" s="46" t="str">
        <f xml:space="preserve"> Dashboard!D$23</f>
        <v>% brievenbussen Nee/Ja-sticker</v>
      </c>
      <c r="G20" s="47">
        <f xml:space="preserve"> Dashboard!F$23</f>
        <v>0.25</v>
      </c>
    </row>
    <row r="21" spans="4:7" ht="13.95" customHeight="1" x14ac:dyDescent="0.3">
      <c r="F21" s="46" t="str">
        <f xml:space="preserve"> Dashboard!D$24</f>
        <v>% brievenbussen geen sticker</v>
      </c>
      <c r="G21" s="47">
        <f xml:space="preserve"> Dashboard!F$24</f>
        <v>0.6</v>
      </c>
    </row>
    <row r="22" spans="4:7" ht="13.95" customHeight="1" x14ac:dyDescent="0.3">
      <c r="D22" t="s">
        <v>406</v>
      </c>
      <c r="F22" s="46"/>
      <c r="G22" s="47"/>
    </row>
    <row r="23" spans="4:7" ht="13.95" customHeight="1" x14ac:dyDescent="0.3">
      <c r="F23" s="46" t="str">
        <f xml:space="preserve"> Dashboard!D$29</f>
        <v>Wekelijkse gewicht ongeadresseerde reclame, gram per adres</v>
      </c>
      <c r="G23" s="63">
        <f xml:space="preserve"> Dashboard!F$29</f>
        <v>500</v>
      </c>
    </row>
    <row r="24" spans="4:7" ht="13.95" customHeight="1" x14ac:dyDescent="0.3">
      <c r="F24" s="46" t="str">
        <f xml:space="preserve"> Dashboard!D$30</f>
        <v>Wekelijkse gewicht aan verpakking ongeadresseerde reclame, gram per adres</v>
      </c>
      <c r="G24" s="63">
        <f xml:space="preserve"> Dashboard!F$30</f>
        <v>1.5</v>
      </c>
    </row>
    <row r="25" spans="4:7" ht="13.95" customHeight="1" x14ac:dyDescent="0.3">
      <c r="F25" s="46" t="str">
        <f xml:space="preserve"> Dashboard!D$31</f>
        <v>Wekelijkse gewicht huis-aan-huisbladen, gram per adres</v>
      </c>
      <c r="G25" s="46">
        <f xml:space="preserve"> Dashboard!F$31</f>
        <v>65</v>
      </c>
    </row>
    <row r="26" spans="4:7" ht="13.95" customHeight="1" x14ac:dyDescent="0.3">
      <c r="F26" s="46" t="str">
        <f xml:space="preserve"> Dashboard!D$32</f>
        <v>Wekelijkse gewicht aan verpakking huis-aan-huisbladen, gram per adres</v>
      </c>
      <c r="G26" s="46">
        <f xml:space="preserve"> Dashboard!F$32</f>
        <v>0</v>
      </c>
    </row>
    <row r="27" spans="4:7" ht="1.95" customHeight="1" x14ac:dyDescent="0.3">
      <c r="F27" s="46"/>
      <c r="G27" s="46"/>
    </row>
    <row r="28" spans="4:7" ht="13.95" customHeight="1" x14ac:dyDescent="0.3">
      <c r="F28" s="46" t="str">
        <f xml:space="preserve"> Dashboard!D$40</f>
        <v>% van papier ongeadresseerde reclame uit gerecycled materiaal</v>
      </c>
      <c r="G28" s="47">
        <f xml:space="preserve"> Dashboard!F$40</f>
        <v>1</v>
      </c>
    </row>
    <row r="29" spans="4:7" ht="13.95" customHeight="1" x14ac:dyDescent="0.3">
      <c r="F29" s="46" t="str">
        <f xml:space="preserve"> Dashboard!D$41</f>
        <v>% van papier huis-aan-huisbladen uit gerecycled materiaal</v>
      </c>
      <c r="G29" s="47">
        <f xml:space="preserve"> Dashboard!F$41</f>
        <v>1</v>
      </c>
    </row>
    <row r="30" spans="4:7" ht="13.95" customHeight="1" x14ac:dyDescent="0.3">
      <c r="D30" t="s">
        <v>10</v>
      </c>
      <c r="F30" s="46"/>
      <c r="G30" s="46"/>
    </row>
    <row r="31" spans="4:7" ht="13.95" customHeight="1" x14ac:dyDescent="0.3">
      <c r="F31" s="46" t="str">
        <f xml:space="preserve"> Dashboard!D$34</f>
        <v>Aantal huishoudens aangemeld voor geadresseerd reclamedrukwerk</v>
      </c>
      <c r="G31" s="106">
        <f xml:space="preserve"> Dashboard!F$34</f>
        <v>616</v>
      </c>
    </row>
    <row r="32" spans="4:7" ht="13.95" customHeight="1" x14ac:dyDescent="0.3">
      <c r="D32" t="s">
        <v>17</v>
      </c>
    </row>
    <row r="33" spans="3:7" ht="13.95" customHeight="1" x14ac:dyDescent="0.3">
      <c r="F33" s="46" t="str">
        <f xml:space="preserve"> Dashboard!D$44</f>
        <v>Scheidingspercentage papier</v>
      </c>
      <c r="G33" s="48">
        <f xml:space="preserve"> Dashboard!F$44</f>
        <v>0.65</v>
      </c>
    </row>
    <row r="34" spans="3:7" ht="13.95" customHeight="1" x14ac:dyDescent="0.3">
      <c r="F34" s="46" t="str">
        <f xml:space="preserve"> Dashboard!D$45</f>
        <v>Scheidingspercentage plastic</v>
      </c>
      <c r="G34" s="48">
        <f xml:space="preserve"> Dashboard!F$45</f>
        <v>0.6</v>
      </c>
    </row>
    <row r="35" spans="3:7" ht="13.95" customHeight="1" x14ac:dyDescent="0.3"/>
    <row r="36" spans="3:7" ht="13.95" customHeight="1" x14ac:dyDescent="0.3">
      <c r="C36" s="57" t="s">
        <v>429</v>
      </c>
    </row>
    <row r="37" spans="3:7" ht="13.95" customHeight="1" x14ac:dyDescent="0.3">
      <c r="D37" t="s">
        <v>6</v>
      </c>
    </row>
    <row r="38" spans="3:7" ht="13.95" customHeight="1" x14ac:dyDescent="0.3">
      <c r="F38" s="46" t="str">
        <f xml:space="preserve"> Dashboard!D$3</f>
        <v>Selecteer gemeente</v>
      </c>
      <c r="G38" s="46" t="str">
        <f xml:space="preserve"> Dashboard!F$3</f>
        <v>Folderdam</v>
      </c>
    </row>
    <row r="39" spans="3:7" ht="13.95" customHeight="1" x14ac:dyDescent="0.3">
      <c r="F39" s="46" t="str">
        <f xml:space="preserve"> Dashboard!D$16</f>
        <v>Aantal woningen gemeente</v>
      </c>
      <c r="G39" s="46">
        <f xml:space="preserve"> Dashboard!H$16</f>
        <v>60000</v>
      </c>
    </row>
    <row r="40" spans="3:7" ht="13.95" customHeight="1" x14ac:dyDescent="0.3">
      <c r="D40" t="s">
        <v>8</v>
      </c>
      <c r="F40" s="46"/>
      <c r="G40" s="46"/>
    </row>
    <row r="41" spans="3:7" ht="13.95" customHeight="1" x14ac:dyDescent="0.3">
      <c r="F41" s="46" t="str">
        <f xml:space="preserve"> Dashboard!D$21</f>
        <v>% brievenbussen Nee/Nee-sticker</v>
      </c>
      <c r="G41" s="47">
        <f xml:space="preserve"> Dashboard!H$21</f>
        <v>0.15</v>
      </c>
    </row>
    <row r="42" spans="3:7" ht="13.95" customHeight="1" x14ac:dyDescent="0.3">
      <c r="F42" s="46" t="str">
        <f xml:space="preserve"> Dashboard!D$22</f>
        <v>% brievenbussen Ja/Ja-sticker</v>
      </c>
      <c r="G42" s="47">
        <f xml:space="preserve"> Dashboard!H$22</f>
        <v>0</v>
      </c>
    </row>
    <row r="43" spans="3:7" ht="13.95" customHeight="1" x14ac:dyDescent="0.3">
      <c r="F43" s="46" t="str">
        <f xml:space="preserve"> Dashboard!D$23</f>
        <v>% brievenbussen Nee/Ja-sticker</v>
      </c>
      <c r="G43" s="47">
        <f xml:space="preserve"> Dashboard!H$23</f>
        <v>0.25</v>
      </c>
    </row>
    <row r="44" spans="3:7" ht="13.95" customHeight="1" x14ac:dyDescent="0.3">
      <c r="F44" s="46" t="str">
        <f xml:space="preserve"> Dashboard!D$24</f>
        <v>% brievenbussen geen sticker</v>
      </c>
      <c r="G44" s="47">
        <f xml:space="preserve"> Dashboard!H$24</f>
        <v>0.6</v>
      </c>
    </row>
    <row r="45" spans="3:7" ht="13.95" customHeight="1" x14ac:dyDescent="0.3">
      <c r="D45" t="s">
        <v>406</v>
      </c>
      <c r="F45" s="46"/>
      <c r="G45" s="47"/>
    </row>
    <row r="46" spans="3:7" ht="13.95" customHeight="1" x14ac:dyDescent="0.3">
      <c r="F46" s="46" t="str">
        <f xml:space="preserve"> Dashboard!D$29</f>
        <v>Wekelijkse gewicht ongeadresseerde reclame, gram per adres</v>
      </c>
      <c r="G46" s="63">
        <f xml:space="preserve"> Dashboard!H$29</f>
        <v>500</v>
      </c>
    </row>
    <row r="47" spans="3:7" ht="13.95" customHeight="1" x14ac:dyDescent="0.3">
      <c r="F47" s="46" t="str">
        <f xml:space="preserve"> Dashboard!D$30</f>
        <v>Wekelijkse gewicht aan verpakking ongeadresseerde reclame, gram per adres</v>
      </c>
      <c r="G47" s="63">
        <f xml:space="preserve"> Dashboard!H$30</f>
        <v>1.5</v>
      </c>
    </row>
    <row r="48" spans="3:7" ht="13.95" customHeight="1" x14ac:dyDescent="0.3">
      <c r="F48" s="46" t="str">
        <f xml:space="preserve"> Dashboard!D$31</f>
        <v>Wekelijkse gewicht huis-aan-huisbladen, gram per adres</v>
      </c>
      <c r="G48" s="63">
        <f xml:space="preserve"> Dashboard!H$31</f>
        <v>65</v>
      </c>
    </row>
    <row r="49" spans="3:8" ht="13.95" customHeight="1" x14ac:dyDescent="0.3">
      <c r="F49" s="46" t="str">
        <f xml:space="preserve"> Dashboard!D$32</f>
        <v>Wekelijkse gewicht aan verpakking huis-aan-huisbladen, gram per adres</v>
      </c>
      <c r="G49" s="63">
        <f xml:space="preserve"> Dashboard!H$32</f>
        <v>0</v>
      </c>
    </row>
    <row r="50" spans="3:8" ht="1.95" customHeight="1" x14ac:dyDescent="0.3">
      <c r="F50" s="46"/>
      <c r="G50" s="63"/>
    </row>
    <row r="51" spans="3:8" ht="13.95" customHeight="1" x14ac:dyDescent="0.3">
      <c r="F51" s="46" t="str">
        <f xml:space="preserve"> Dashboard!D$40</f>
        <v>% van papier ongeadresseerde reclame uit gerecycled materiaal</v>
      </c>
      <c r="G51" s="47">
        <f xml:space="preserve"> Dashboard!H$40</f>
        <v>1</v>
      </c>
    </row>
    <row r="52" spans="3:8" ht="13.95" customHeight="1" x14ac:dyDescent="0.3">
      <c r="F52" s="46" t="str">
        <f xml:space="preserve"> Dashboard!D$41</f>
        <v>% van papier huis-aan-huisbladen uit gerecycled materiaal</v>
      </c>
      <c r="G52" s="47">
        <f xml:space="preserve"> Dashboard!H$41</f>
        <v>1</v>
      </c>
    </row>
    <row r="53" spans="3:8" ht="13.95" customHeight="1" x14ac:dyDescent="0.3">
      <c r="D53" t="s">
        <v>10</v>
      </c>
      <c r="F53" s="46"/>
      <c r="G53" s="46"/>
    </row>
    <row r="54" spans="3:8" ht="13.95" customHeight="1" x14ac:dyDescent="0.3">
      <c r="F54" s="46" t="str">
        <f xml:space="preserve"> Dashboard!D$34</f>
        <v>Aantal huishoudens aangemeld voor geadresseerd reclamedrukwerk</v>
      </c>
      <c r="G54" s="106">
        <f xml:space="preserve"> Dashboard!H$34</f>
        <v>616</v>
      </c>
    </row>
    <row r="55" spans="3:8" ht="13.95" customHeight="1" x14ac:dyDescent="0.3">
      <c r="D55" t="s">
        <v>17</v>
      </c>
    </row>
    <row r="56" spans="3:8" ht="13.95" customHeight="1" x14ac:dyDescent="0.3">
      <c r="F56" s="46" t="str">
        <f xml:space="preserve"> Dashboard!D$44</f>
        <v>Scheidingspercentage papier</v>
      </c>
      <c r="G56" s="48">
        <f xml:space="preserve"> Dashboard!H$44</f>
        <v>0.65</v>
      </c>
    </row>
    <row r="57" spans="3:8" ht="13.95" customHeight="1" x14ac:dyDescent="0.3">
      <c r="F57" s="46" t="str">
        <f xml:space="preserve"> Dashboard!D$45</f>
        <v>Scheidingspercentage plastic</v>
      </c>
      <c r="G57" s="48">
        <f xml:space="preserve"> Dashboard!H$45</f>
        <v>0.6</v>
      </c>
    </row>
    <row r="58" spans="3:8" ht="13.95" customHeight="1" x14ac:dyDescent="0.3"/>
    <row r="59" spans="3:8" ht="13.95" customHeight="1" x14ac:dyDescent="0.3">
      <c r="C59" s="57" t="s">
        <v>431</v>
      </c>
    </row>
    <row r="60" spans="3:8" ht="13.95" customHeight="1" x14ac:dyDescent="0.3">
      <c r="D60" t="s">
        <v>6</v>
      </c>
    </row>
    <row r="61" spans="3:8" ht="13.95" customHeight="1" x14ac:dyDescent="0.3">
      <c r="F61" t="s">
        <v>6</v>
      </c>
      <c r="G61" s="84" t="str">
        <f>IF(G9=1,G15,IF(G10=1,G38))</f>
        <v>Folderdam</v>
      </c>
      <c r="H61" t="s">
        <v>44</v>
      </c>
    </row>
    <row r="62" spans="3:8" ht="13.95" customHeight="1" x14ac:dyDescent="0.3">
      <c r="F62" t="s">
        <v>415</v>
      </c>
      <c r="G62" s="84">
        <f>$G$9*G16+$G$10*G39</f>
        <v>60000</v>
      </c>
      <c r="H62" t="s">
        <v>44</v>
      </c>
    </row>
    <row r="63" spans="3:8" ht="13.95" customHeight="1" x14ac:dyDescent="0.3">
      <c r="D63" t="s">
        <v>8</v>
      </c>
    </row>
    <row r="64" spans="3:8" ht="13.95" customHeight="1" x14ac:dyDescent="0.3">
      <c r="F64" t="s">
        <v>45</v>
      </c>
      <c r="G64" s="83">
        <f>$G$9*G18+$G$10*G41</f>
        <v>0.15</v>
      </c>
      <c r="H64" t="s">
        <v>9</v>
      </c>
    </row>
    <row r="65" spans="4:8" ht="13.95" customHeight="1" x14ac:dyDescent="0.3">
      <c r="F65" t="s">
        <v>46</v>
      </c>
      <c r="G65" s="83">
        <f>$G$9*G19+$G$10*G42</f>
        <v>0</v>
      </c>
      <c r="H65" t="s">
        <v>9</v>
      </c>
    </row>
    <row r="66" spans="4:8" ht="13.95" customHeight="1" x14ac:dyDescent="0.3">
      <c r="F66" t="s">
        <v>47</v>
      </c>
      <c r="G66" s="83">
        <f>$G$9*G20+$G$10*G43</f>
        <v>0.25</v>
      </c>
      <c r="H66" t="s">
        <v>9</v>
      </c>
    </row>
    <row r="67" spans="4:8" ht="13.95" customHeight="1" x14ac:dyDescent="0.3">
      <c r="F67" t="s">
        <v>48</v>
      </c>
      <c r="G67" s="83">
        <f>$G$9*G21+$G$10*G44</f>
        <v>0.6</v>
      </c>
      <c r="H67" t="s">
        <v>9</v>
      </c>
    </row>
    <row r="68" spans="4:8" ht="13.95" customHeight="1" x14ac:dyDescent="0.3">
      <c r="D68" t="s">
        <v>406</v>
      </c>
    </row>
    <row r="69" spans="4:8" ht="13.95" customHeight="1" x14ac:dyDescent="0.3">
      <c r="F69" t="s">
        <v>420</v>
      </c>
      <c r="G69" s="85">
        <f>$G$9*G23+$G$10*G46</f>
        <v>500</v>
      </c>
      <c r="H69" t="s">
        <v>30</v>
      </c>
    </row>
    <row r="70" spans="4:8" ht="13.95" customHeight="1" x14ac:dyDescent="0.3">
      <c r="F70" t="s">
        <v>421</v>
      </c>
      <c r="G70" s="85">
        <f>$G$9*G24+$G$10*G47</f>
        <v>1.5</v>
      </c>
      <c r="H70" t="s">
        <v>30</v>
      </c>
    </row>
    <row r="71" spans="4:8" ht="13.95" customHeight="1" x14ac:dyDescent="0.3">
      <c r="F71" t="s">
        <v>433</v>
      </c>
      <c r="G71" s="85">
        <f>$G$9*G25+$G$10*G48</f>
        <v>65</v>
      </c>
      <c r="H71" t="s">
        <v>30</v>
      </c>
    </row>
    <row r="72" spans="4:8" ht="13.95" customHeight="1" x14ac:dyDescent="0.3">
      <c r="F72" t="s">
        <v>434</v>
      </c>
      <c r="G72" s="85">
        <f>$G$9*G26+$G$10*G49</f>
        <v>0</v>
      </c>
      <c r="H72" t="s">
        <v>30</v>
      </c>
    </row>
    <row r="73" spans="4:8" ht="1.95" customHeight="1" x14ac:dyDescent="0.3">
      <c r="G73" s="187"/>
    </row>
    <row r="74" spans="4:8" ht="13.95" customHeight="1" x14ac:dyDescent="0.3">
      <c r="F74" t="s">
        <v>1597</v>
      </c>
      <c r="G74" s="83">
        <f>$G$9*G28+$G$10*G51</f>
        <v>1</v>
      </c>
      <c r="H74" t="s">
        <v>9</v>
      </c>
    </row>
    <row r="75" spans="4:8" ht="13.95" customHeight="1" x14ac:dyDescent="0.3">
      <c r="F75" t="s">
        <v>1598</v>
      </c>
      <c r="G75" s="83">
        <f>$G$9*G29+$G$10*G52</f>
        <v>1</v>
      </c>
      <c r="H75" t="s">
        <v>9</v>
      </c>
    </row>
    <row r="76" spans="4:8" ht="13.95" customHeight="1" x14ac:dyDescent="0.3">
      <c r="D76" t="s">
        <v>10</v>
      </c>
    </row>
    <row r="77" spans="4:8" ht="13.95" customHeight="1" x14ac:dyDescent="0.3">
      <c r="F77" t="s">
        <v>695</v>
      </c>
      <c r="G77" s="99">
        <f>$G$9*G31+$G$10*G54</f>
        <v>616</v>
      </c>
      <c r="H77" t="s">
        <v>44</v>
      </c>
    </row>
    <row r="78" spans="4:8" ht="13.95" customHeight="1" x14ac:dyDescent="0.3">
      <c r="D78" t="s">
        <v>17</v>
      </c>
    </row>
    <row r="79" spans="4:8" ht="13.95" customHeight="1" x14ac:dyDescent="0.3">
      <c r="F79" t="s">
        <v>692</v>
      </c>
      <c r="G79" s="83">
        <f>$G$9*G33+$G$10*G56</f>
        <v>0.65</v>
      </c>
      <c r="H79" t="s">
        <v>9</v>
      </c>
    </row>
    <row r="80" spans="4:8" ht="13.95" customHeight="1" x14ac:dyDescent="0.3">
      <c r="F80" t="s">
        <v>694</v>
      </c>
      <c r="G80" s="83">
        <f>$G$9*G34+$G$10*G57</f>
        <v>0.6</v>
      </c>
      <c r="H80" t="s">
        <v>9</v>
      </c>
    </row>
    <row r="81" spans="1:8" ht="13.95" customHeight="1" x14ac:dyDescent="0.3"/>
    <row r="82" spans="1:8" s="44" customFormat="1" ht="13.95" customHeight="1" x14ac:dyDescent="0.3">
      <c r="A82" s="96" t="s">
        <v>673</v>
      </c>
      <c r="B82" s="52"/>
      <c r="C82" s="56"/>
      <c r="E82" s="52"/>
    </row>
    <row r="83" spans="1:8" ht="13.95" customHeight="1" x14ac:dyDescent="0.3"/>
    <row r="84" spans="1:8" ht="13.95" customHeight="1" x14ac:dyDescent="0.3">
      <c r="F84" t="s">
        <v>674</v>
      </c>
      <c r="G84" s="94">
        <f>HLOOKUP($G$61,Gemeentecijfers!$M$2:$NE$42,Gemeentecijfers!K40,FALSE)</f>
        <v>140</v>
      </c>
      <c r="H84" t="s">
        <v>12</v>
      </c>
    </row>
    <row r="85" spans="1:8" ht="13.95" customHeight="1" x14ac:dyDescent="0.3">
      <c r="F85" t="s">
        <v>677</v>
      </c>
      <c r="G85" s="94">
        <f>HLOOKUP($G$61,Gemeentecijfers!$M$2:$NE$42,Gemeentecijfers!K41,FALSE)</f>
        <v>1000</v>
      </c>
      <c r="H85" t="s">
        <v>12</v>
      </c>
    </row>
    <row r="86" spans="1:8" ht="13.95" customHeight="1" x14ac:dyDescent="0.3"/>
    <row r="87" spans="1:8" s="40" customFormat="1" ht="13.95" customHeight="1" x14ac:dyDescent="0.3">
      <c r="A87" s="60" t="s">
        <v>899</v>
      </c>
      <c r="B87" s="61"/>
      <c r="C87" s="62"/>
      <c r="E87" s="61"/>
    </row>
    <row r="88" spans="1:8" ht="13.95" customHeight="1" x14ac:dyDescent="0.3"/>
    <row r="89" spans="1:8" ht="13.95" customHeight="1" x14ac:dyDescent="0.3">
      <c r="B89" s="53" t="s">
        <v>494</v>
      </c>
      <c r="F89" s="53"/>
    </row>
    <row r="90" spans="1:8" ht="13.95" customHeight="1" x14ac:dyDescent="0.3">
      <c r="C90" s="57" t="s">
        <v>435</v>
      </c>
    </row>
    <row r="91" spans="1:8" ht="13.95" customHeight="1" x14ac:dyDescent="0.3">
      <c r="F91" s="64" t="str">
        <f xml:space="preserve"> F$62</f>
        <v>Aantal huishoudens gemeente (beschikbare data)</v>
      </c>
      <c r="G91" s="64">
        <f xml:space="preserve"> G$62</f>
        <v>60000</v>
      </c>
      <c r="H91" s="64" t="str">
        <f xml:space="preserve"> H$62</f>
        <v>huishoudens</v>
      </c>
    </row>
    <row r="92" spans="1:8" ht="1.95" customHeight="1" x14ac:dyDescent="0.3">
      <c r="F92" s="64"/>
      <c r="G92" s="64"/>
      <c r="H92" s="64"/>
    </row>
    <row r="93" spans="1:8" ht="13.95" customHeight="1" x14ac:dyDescent="0.3">
      <c r="F93" s="64" t="str">
        <f xml:space="preserve"> F$64</f>
        <v>% huishoudens Nee/Nee-sticker</v>
      </c>
      <c r="G93" s="65">
        <f xml:space="preserve"> G$64</f>
        <v>0.15</v>
      </c>
      <c r="H93" s="64" t="str">
        <f xml:space="preserve"> H$64</f>
        <v>%</v>
      </c>
    </row>
    <row r="94" spans="1:8" ht="13.95" customHeight="1" x14ac:dyDescent="0.3">
      <c r="F94" s="64" t="str">
        <f xml:space="preserve"> F$65</f>
        <v>% huishoudens Ja/Ja-sticker</v>
      </c>
      <c r="G94" s="65">
        <f xml:space="preserve"> G$65</f>
        <v>0</v>
      </c>
      <c r="H94" s="64" t="str">
        <f xml:space="preserve"> H$65</f>
        <v>%</v>
      </c>
    </row>
    <row r="95" spans="1:8" ht="13.95" customHeight="1" x14ac:dyDescent="0.3">
      <c r="F95" s="64" t="str">
        <f xml:space="preserve"> F$66</f>
        <v>% huishoudens Nee/Ja-sticker</v>
      </c>
      <c r="G95" s="65">
        <f xml:space="preserve"> G$66</f>
        <v>0.25</v>
      </c>
      <c r="H95" s="64" t="str">
        <f xml:space="preserve"> H$66</f>
        <v>%</v>
      </c>
    </row>
    <row r="96" spans="1:8" ht="13.95" customHeight="1" x14ac:dyDescent="0.3">
      <c r="F96" s="64" t="str">
        <f xml:space="preserve"> F$67</f>
        <v>% huishoudens geen sticker</v>
      </c>
      <c r="G96" s="65">
        <f xml:space="preserve"> G$67</f>
        <v>0.6</v>
      </c>
      <c r="H96" s="64" t="str">
        <f xml:space="preserve"> H$67</f>
        <v>%</v>
      </c>
    </row>
    <row r="97" spans="3:10" ht="1.95" customHeight="1" x14ac:dyDescent="0.3"/>
    <row r="98" spans="3:10" ht="13.95" customHeight="1" x14ac:dyDescent="0.3">
      <c r="F98" t="s">
        <v>436</v>
      </c>
      <c r="G98">
        <f>$G$91*G93</f>
        <v>9000</v>
      </c>
      <c r="H98" t="s">
        <v>44</v>
      </c>
    </row>
    <row r="99" spans="3:10" ht="13.95" customHeight="1" x14ac:dyDescent="0.3">
      <c r="F99" t="s">
        <v>437</v>
      </c>
      <c r="G99">
        <f t="shared" ref="G99:G100" si="0">$G$91*G94</f>
        <v>0</v>
      </c>
      <c r="H99" t="s">
        <v>44</v>
      </c>
    </row>
    <row r="100" spans="3:10" ht="13.95" customHeight="1" x14ac:dyDescent="0.3">
      <c r="F100" t="s">
        <v>438</v>
      </c>
      <c r="G100">
        <f t="shared" si="0"/>
        <v>15000</v>
      </c>
      <c r="H100" t="s">
        <v>44</v>
      </c>
    </row>
    <row r="101" spans="3:10" ht="13.95" customHeight="1" x14ac:dyDescent="0.3">
      <c r="F101" t="s">
        <v>439</v>
      </c>
      <c r="G101">
        <f>$G$91*G96</f>
        <v>36000</v>
      </c>
      <c r="H101" t="s">
        <v>44</v>
      </c>
    </row>
    <row r="102" spans="3:10" ht="13.95" customHeight="1" x14ac:dyDescent="0.3"/>
    <row r="103" spans="3:10" ht="13.95" customHeight="1" x14ac:dyDescent="0.3">
      <c r="C103" s="57" t="s">
        <v>440</v>
      </c>
    </row>
    <row r="104" spans="3:10" ht="13.95" customHeight="1" x14ac:dyDescent="0.3">
      <c r="D104" t="s">
        <v>447</v>
      </c>
    </row>
    <row r="105" spans="3:10" ht="13.95" customHeight="1" x14ac:dyDescent="0.3">
      <c r="F105" s="64" t="str">
        <f xml:space="preserve"> F$91</f>
        <v>Aantal huishoudens gemeente (beschikbare data)</v>
      </c>
      <c r="G105" s="67">
        <f xml:space="preserve"> G$91</f>
        <v>60000</v>
      </c>
      <c r="H105" s="64" t="str">
        <f xml:space="preserve"> H$91</f>
        <v>huishoudens</v>
      </c>
    </row>
    <row r="106" spans="3:10" ht="13.95" customHeight="1" x14ac:dyDescent="0.3">
      <c r="F106" s="64" t="str">
        <f xml:space="preserve"> F$77</f>
        <v>Totaal aantal huishoudens dat kleinere selectie ontvangt</v>
      </c>
      <c r="G106" s="100">
        <f xml:space="preserve"> G$77</f>
        <v>616</v>
      </c>
      <c r="H106" s="64" t="str">
        <f xml:space="preserve"> H$77</f>
        <v>huishoudens</v>
      </c>
      <c r="J106" t="s">
        <v>770</v>
      </c>
    </row>
    <row r="107" spans="3:10" ht="1.95" customHeight="1" x14ac:dyDescent="0.3">
      <c r="G107" s="66"/>
    </row>
    <row r="108" spans="3:10" ht="13.95" customHeight="1" x14ac:dyDescent="0.3">
      <c r="F108" s="64" t="str">
        <f xml:space="preserve"> F$98</f>
        <v>Aantal huishoudens Nee/Nee-sticker</v>
      </c>
      <c r="G108" s="67">
        <f xml:space="preserve"> G$98</f>
        <v>9000</v>
      </c>
      <c r="H108" s="64" t="str">
        <f xml:space="preserve"> H$98</f>
        <v>huishoudens</v>
      </c>
      <c r="J108" t="s">
        <v>1169</v>
      </c>
    </row>
    <row r="109" spans="3:10" ht="13.95" customHeight="1" x14ac:dyDescent="0.3">
      <c r="F109" s="64" t="str">
        <f xml:space="preserve"> F$99</f>
        <v>Aantal huishoudens Ja/Ja-sticker</v>
      </c>
      <c r="G109" s="67">
        <f xml:space="preserve"> G$99</f>
        <v>0</v>
      </c>
      <c r="H109" s="64" t="str">
        <f xml:space="preserve"> H$99</f>
        <v>huishoudens</v>
      </c>
    </row>
    <row r="110" spans="3:10" ht="13.95" customHeight="1" x14ac:dyDescent="0.3">
      <c r="F110" s="64" t="str">
        <f xml:space="preserve"> F$100</f>
        <v>Aantal huishoudens Nee/Ja-sticker</v>
      </c>
      <c r="G110" s="67">
        <f xml:space="preserve"> G$100</f>
        <v>15000</v>
      </c>
      <c r="H110" s="64" t="str">
        <f xml:space="preserve"> H$100</f>
        <v>huishoudens</v>
      </c>
    </row>
    <row r="111" spans="3:10" ht="13.95" customHeight="1" x14ac:dyDescent="0.3">
      <c r="F111" s="64" t="str">
        <f xml:space="preserve"> F$101</f>
        <v>Aantal huishoudens geen sticker</v>
      </c>
      <c r="G111" s="67">
        <f xml:space="preserve"> G$101</f>
        <v>36000</v>
      </c>
      <c r="H111" s="64" t="str">
        <f xml:space="preserve"> H$101</f>
        <v>huishoudens</v>
      </c>
    </row>
    <row r="112" spans="3:10" ht="1.95" customHeight="1" x14ac:dyDescent="0.3">
      <c r="G112" s="66"/>
    </row>
    <row r="113" spans="4:11" ht="13.95" customHeight="1" x14ac:dyDescent="0.3">
      <c r="F113" t="s">
        <v>442</v>
      </c>
      <c r="G113" s="67">
        <f>G108-G114</f>
        <v>8769</v>
      </c>
      <c r="H113" s="64" t="str">
        <f t="shared" ref="H113:H122" si="1" xml:space="preserve"> H$101</f>
        <v>huishoudens</v>
      </c>
      <c r="J113" t="s">
        <v>1170</v>
      </c>
    </row>
    <row r="114" spans="4:11" ht="13.95" customHeight="1" x14ac:dyDescent="0.3">
      <c r="F114" s="64" t="s">
        <v>441</v>
      </c>
      <c r="G114" s="66">
        <f>G108/(G108+G110)*G106</f>
        <v>231</v>
      </c>
      <c r="H114" s="64" t="str">
        <f t="shared" si="1"/>
        <v>huishoudens</v>
      </c>
    </row>
    <row r="115" spans="4:11" ht="13.95" customHeight="1" x14ac:dyDescent="0.3">
      <c r="F115" t="s">
        <v>443</v>
      </c>
      <c r="G115" s="66">
        <f>G109</f>
        <v>0</v>
      </c>
      <c r="H115" s="64" t="str">
        <f t="shared" si="1"/>
        <v>huishoudens</v>
      </c>
    </row>
    <row r="116" spans="4:11" ht="13.95" customHeight="1" x14ac:dyDescent="0.3">
      <c r="F116" t="s">
        <v>444</v>
      </c>
      <c r="G116" s="66">
        <f>G110-G117</f>
        <v>14615</v>
      </c>
      <c r="H116" s="64" t="str">
        <f t="shared" si="1"/>
        <v>huishoudens</v>
      </c>
    </row>
    <row r="117" spans="4:11" ht="13.95" customHeight="1" x14ac:dyDescent="0.3">
      <c r="F117" t="s">
        <v>445</v>
      </c>
      <c r="G117" s="66">
        <f>G110/(G108+G110)*G106</f>
        <v>385</v>
      </c>
      <c r="H117" s="64" t="str">
        <f t="shared" si="1"/>
        <v>huishoudens</v>
      </c>
      <c r="I117" s="66"/>
    </row>
    <row r="118" spans="4:11" ht="13.95" customHeight="1" x14ac:dyDescent="0.3">
      <c r="F118" t="s">
        <v>446</v>
      </c>
      <c r="G118" s="66">
        <f>G111</f>
        <v>36000</v>
      </c>
      <c r="H118" s="64" t="str">
        <f t="shared" si="1"/>
        <v>huishoudens</v>
      </c>
    </row>
    <row r="119" spans="4:11" ht="1.95" customHeight="1" x14ac:dyDescent="0.3">
      <c r="G119" s="66"/>
      <c r="H119" s="64"/>
    </row>
    <row r="120" spans="4:11" ht="13.95" customHeight="1" x14ac:dyDescent="0.3">
      <c r="F120" t="s">
        <v>1130</v>
      </c>
      <c r="G120" s="66">
        <f>G115+G118</f>
        <v>36000</v>
      </c>
      <c r="H120" s="64" t="str">
        <f t="shared" si="1"/>
        <v>huishoudens</v>
      </c>
      <c r="J120" t="s">
        <v>1171</v>
      </c>
    </row>
    <row r="121" spans="4:11" ht="13.95" customHeight="1" x14ac:dyDescent="0.3">
      <c r="F121" t="s">
        <v>1131</v>
      </c>
      <c r="G121" s="66">
        <f>G114+G117</f>
        <v>616</v>
      </c>
      <c r="H121" s="64" t="str">
        <f t="shared" si="1"/>
        <v>huishoudens</v>
      </c>
    </row>
    <row r="122" spans="4:11" ht="13.95" customHeight="1" x14ac:dyDescent="0.3">
      <c r="F122" t="s">
        <v>450</v>
      </c>
      <c r="G122" s="66">
        <f>G115+G116+G117+G118</f>
        <v>51000</v>
      </c>
      <c r="H122" s="64" t="str">
        <f t="shared" si="1"/>
        <v>huishoudens</v>
      </c>
      <c r="J122" s="66"/>
      <c r="K122" s="66"/>
    </row>
    <row r="123" spans="4:11" ht="13.95" customHeight="1" x14ac:dyDescent="0.3">
      <c r="G123" s="66"/>
    </row>
    <row r="124" spans="4:11" ht="13.95" customHeight="1" x14ac:dyDescent="0.3">
      <c r="D124" t="s">
        <v>1132</v>
      </c>
    </row>
    <row r="125" spans="4:11" ht="13.95" customHeight="1" x14ac:dyDescent="0.3">
      <c r="F125" s="64" t="str">
        <f xml:space="preserve"> F$120</f>
        <v>Aantal huishoudens dat ongeadreseerd, normaal ontvangt</v>
      </c>
      <c r="G125" s="67">
        <f xml:space="preserve"> G$120</f>
        <v>36000</v>
      </c>
      <c r="H125" s="64" t="str">
        <f xml:space="preserve"> H$120</f>
        <v>huishoudens</v>
      </c>
    </row>
    <row r="126" spans="4:11" ht="1.95" customHeight="1" x14ac:dyDescent="0.3">
      <c r="F126" s="64"/>
      <c r="G126" s="67"/>
      <c r="H126" s="64"/>
    </row>
    <row r="127" spans="4:11" ht="13.95" customHeight="1" x14ac:dyDescent="0.3">
      <c r="F127" s="46" t="str">
        <f xml:space="preserve"> Inputs!E$10</f>
        <v>Aantal gram per kilo</v>
      </c>
      <c r="G127" s="46">
        <f xml:space="preserve"> Inputs!F$10</f>
        <v>1000</v>
      </c>
      <c r="H127" s="46" t="str">
        <f xml:space="preserve"> Inputs!G$10</f>
        <v>gram / kilo</v>
      </c>
    </row>
    <row r="128" spans="4:11" ht="1.95" customHeight="1" x14ac:dyDescent="0.3">
      <c r="F128" s="64"/>
      <c r="G128" s="67"/>
      <c r="H128" s="64"/>
    </row>
    <row r="129" spans="6:9" ht="13.95" customHeight="1" x14ac:dyDescent="0.3">
      <c r="F129" s="64" t="str">
        <f xml:space="preserve"> F$69</f>
        <v>Wekelijkse gewicht aan folders (huishoudens niet aangemeld bij bijv. kiesjefolders.nl)</v>
      </c>
      <c r="G129" s="67">
        <f xml:space="preserve"> G$69</f>
        <v>500</v>
      </c>
      <c r="H129" s="64" t="str">
        <f xml:space="preserve"> H$69</f>
        <v>gram</v>
      </c>
    </row>
    <row r="130" spans="6:9" ht="13.95" customHeight="1" x14ac:dyDescent="0.3">
      <c r="F130" s="64" t="str">
        <f xml:space="preserve"> F$70</f>
        <v>Wekelijkse gewicht aan verpakking (huishoudens niet aangemeld bij bijv. kiesjefolders.nl)</v>
      </c>
      <c r="G130" s="67">
        <f xml:space="preserve"> G$70</f>
        <v>1.5</v>
      </c>
      <c r="H130" s="64" t="str">
        <f xml:space="preserve"> H$70</f>
        <v>gram</v>
      </c>
    </row>
    <row r="131" spans="6:9" ht="1.95" customHeight="1" x14ac:dyDescent="0.3"/>
    <row r="132" spans="6:9" ht="13.95" customHeight="1" x14ac:dyDescent="0.3">
      <c r="F132" s="64" t="str">
        <f xml:space="preserve"> F$74</f>
        <v>% van papier ongeadresseerde reclame uit gerecycled materiaal</v>
      </c>
      <c r="G132" s="188">
        <f xml:space="preserve"> G$74</f>
        <v>1</v>
      </c>
      <c r="H132" s="64" t="str">
        <f xml:space="preserve"> H$74</f>
        <v>%</v>
      </c>
    </row>
    <row r="133" spans="6:9" ht="13.95" customHeight="1" x14ac:dyDescent="0.3">
      <c r="F133" s="46" t="str">
        <f xml:space="preserve"> Inputs!E$23</f>
        <v>% van plastic ongeadresseerd uit recycled materiaal</v>
      </c>
      <c r="G133" s="142">
        <f xml:space="preserve"> Inputs!F$23</f>
        <v>0</v>
      </c>
      <c r="H133" s="46" t="str">
        <f xml:space="preserve"> Inputs!G$23</f>
        <v>%</v>
      </c>
    </row>
    <row r="134" spans="6:9" ht="1.95" customHeight="1" x14ac:dyDescent="0.3">
      <c r="F134" s="46"/>
      <c r="G134" s="46"/>
      <c r="H134" s="46"/>
    </row>
    <row r="135" spans="6:9" ht="13.95" customHeight="1" x14ac:dyDescent="0.3">
      <c r="F135" s="68" t="s">
        <v>1133</v>
      </c>
      <c r="G135" s="73">
        <f>G125*G129*(1-G132)/G127</f>
        <v>0</v>
      </c>
      <c r="H135" s="68" t="s">
        <v>457</v>
      </c>
      <c r="I135" s="66"/>
    </row>
    <row r="136" spans="6:9" ht="13.95" customHeight="1" x14ac:dyDescent="0.3">
      <c r="F136" s="68" t="s">
        <v>1134</v>
      </c>
      <c r="G136" s="73">
        <f>G125*G129*G132/G127</f>
        <v>18000</v>
      </c>
      <c r="H136" s="68" t="s">
        <v>457</v>
      </c>
      <c r="I136" s="66"/>
    </row>
    <row r="137" spans="6:9" ht="13.95" customHeight="1" x14ac:dyDescent="0.3">
      <c r="F137" s="68" t="s">
        <v>1135</v>
      </c>
      <c r="G137" s="66">
        <f>G125*G130*(1-G133)/G127</f>
        <v>54</v>
      </c>
      <c r="H137" s="68" t="s">
        <v>457</v>
      </c>
      <c r="I137" s="66"/>
    </row>
    <row r="138" spans="6:9" ht="13.95" customHeight="1" x14ac:dyDescent="0.3">
      <c r="F138" s="68" t="s">
        <v>1136</v>
      </c>
      <c r="G138" s="73">
        <f>G125*G130*G133/G127</f>
        <v>0</v>
      </c>
      <c r="H138" s="68" t="s">
        <v>457</v>
      </c>
      <c r="I138" s="66"/>
    </row>
    <row r="139" spans="6:9" ht="1.95" customHeight="1" x14ac:dyDescent="0.3">
      <c r="F139" s="68"/>
      <c r="G139" s="73"/>
      <c r="H139" s="68"/>
    </row>
    <row r="140" spans="6:9" ht="13.95" customHeight="1" x14ac:dyDescent="0.3">
      <c r="F140" s="46" t="str">
        <f xml:space="preserve"> Inputs!E$11</f>
        <v>Aantal weken per jaar</v>
      </c>
      <c r="G140" s="46">
        <f xml:space="preserve"> Inputs!F$11</f>
        <v>52</v>
      </c>
      <c r="H140" s="46" t="str">
        <f xml:space="preserve"> Inputs!G$11</f>
        <v>weken / jaar</v>
      </c>
    </row>
    <row r="141" spans="6:9" ht="1.95" customHeight="1" x14ac:dyDescent="0.3">
      <c r="F141" s="68"/>
      <c r="G141" s="73"/>
      <c r="H141" s="68"/>
    </row>
    <row r="142" spans="6:9" ht="13.95" customHeight="1" x14ac:dyDescent="0.3">
      <c r="F142" s="68" t="s">
        <v>1137</v>
      </c>
      <c r="G142" s="73">
        <f>G135*$G$140</f>
        <v>0</v>
      </c>
      <c r="H142" s="68" t="s">
        <v>456</v>
      </c>
    </row>
    <row r="143" spans="6:9" ht="13.95" customHeight="1" x14ac:dyDescent="0.3">
      <c r="F143" s="68" t="s">
        <v>1138</v>
      </c>
      <c r="G143" s="73">
        <f>G136*$G$140</f>
        <v>936000</v>
      </c>
      <c r="H143" s="68" t="s">
        <v>456</v>
      </c>
    </row>
    <row r="144" spans="6:9" ht="13.95" customHeight="1" x14ac:dyDescent="0.3">
      <c r="F144" s="68" t="s">
        <v>1139</v>
      </c>
      <c r="G144" s="73">
        <f>G137*$G$140</f>
        <v>2808</v>
      </c>
      <c r="H144" s="68" t="s">
        <v>456</v>
      </c>
    </row>
    <row r="145" spans="4:8" ht="13.95" customHeight="1" x14ac:dyDescent="0.3">
      <c r="F145" s="68" t="s">
        <v>1140</v>
      </c>
      <c r="G145" s="73">
        <f>G138*$G$140</f>
        <v>0</v>
      </c>
      <c r="H145" s="68" t="s">
        <v>456</v>
      </c>
    </row>
    <row r="146" spans="4:8" ht="13.95" customHeight="1" x14ac:dyDescent="0.3">
      <c r="F146" s="46"/>
      <c r="G146" s="46"/>
      <c r="H146" s="46"/>
    </row>
    <row r="147" spans="4:8" ht="13.95" customHeight="1" x14ac:dyDescent="0.3">
      <c r="D147" t="s">
        <v>1141</v>
      </c>
    </row>
    <row r="148" spans="4:8" ht="13.95" customHeight="1" x14ac:dyDescent="0.3">
      <c r="F148" s="64" t="str">
        <f xml:space="preserve"> F$121</f>
        <v>Aantal huishoudens dat ongeadreseerd, selectie ontvangt</v>
      </c>
      <c r="G148" s="67">
        <f xml:space="preserve"> G$121</f>
        <v>616</v>
      </c>
      <c r="H148" s="64" t="str">
        <f xml:space="preserve"> H$121</f>
        <v>huishoudens</v>
      </c>
    </row>
    <row r="149" spans="4:8" ht="1.95" customHeight="1" x14ac:dyDescent="0.3">
      <c r="F149" s="64"/>
      <c r="G149" s="67"/>
      <c r="H149" s="64"/>
    </row>
    <row r="150" spans="4:8" ht="13.95" customHeight="1" x14ac:dyDescent="0.3">
      <c r="F150" s="46" t="str">
        <f xml:space="preserve"> Inputs!E$10</f>
        <v>Aantal gram per kilo</v>
      </c>
      <c r="G150" s="46">
        <f xml:space="preserve"> Inputs!F$10</f>
        <v>1000</v>
      </c>
      <c r="H150" s="46" t="str">
        <f xml:space="preserve"> Inputs!G$10</f>
        <v>gram / kilo</v>
      </c>
    </row>
    <row r="151" spans="4:8" ht="1.95" customHeight="1" x14ac:dyDescent="0.3"/>
    <row r="152" spans="4:8" ht="13.95" customHeight="1" x14ac:dyDescent="0.3">
      <c r="F152" s="46" t="str">
        <f xml:space="preserve"> Inputs!E$20</f>
        <v>Gemiddelde wekelijkse gewicht aan reclamefolders (met aanmelding Kiesjefolders.nl) - papier</v>
      </c>
      <c r="G152" s="46">
        <f xml:space="preserve"> Inputs!F$20</f>
        <v>112</v>
      </c>
      <c r="H152" s="46" t="str">
        <f xml:space="preserve"> Inputs!G$20</f>
        <v>gram / week</v>
      </c>
    </row>
    <row r="153" spans="4:8" ht="13.95" customHeight="1" x14ac:dyDescent="0.3">
      <c r="F153" s="46" t="str">
        <f xml:space="preserve"> Inputs!E$21</f>
        <v>Gemiddelde wekelijkse gewicht aan reclamefolders (met aanmelding Kiesjefolders.nl) - plastic</v>
      </c>
      <c r="G153" s="46">
        <f xml:space="preserve"> Inputs!F$21</f>
        <v>5</v>
      </c>
      <c r="H153" s="46" t="str">
        <f xml:space="preserve"> Inputs!G$21</f>
        <v>gram / week</v>
      </c>
    </row>
    <row r="154" spans="4:8" ht="1.95" customHeight="1" x14ac:dyDescent="0.3"/>
    <row r="155" spans="4:8" ht="13.95" customHeight="1" x14ac:dyDescent="0.3">
      <c r="F155" s="64" t="str">
        <f xml:space="preserve"> F$74</f>
        <v>% van papier ongeadresseerde reclame uit gerecycled materiaal</v>
      </c>
      <c r="G155" s="65">
        <f xml:space="preserve"> G$74</f>
        <v>1</v>
      </c>
      <c r="H155" s="64" t="str">
        <f xml:space="preserve"> H$74</f>
        <v>%</v>
      </c>
    </row>
    <row r="156" spans="4:8" ht="13.95" customHeight="1" x14ac:dyDescent="0.3">
      <c r="F156" s="46" t="str">
        <f xml:space="preserve"> Inputs!E$23</f>
        <v>% van plastic ongeadresseerd uit recycled materiaal</v>
      </c>
      <c r="G156" s="46">
        <f xml:space="preserve"> Inputs!F$23</f>
        <v>0</v>
      </c>
      <c r="H156" s="46" t="str">
        <f xml:space="preserve"> Inputs!G$23</f>
        <v>%</v>
      </c>
    </row>
    <row r="157" spans="4:8" ht="1.95" customHeight="1" x14ac:dyDescent="0.3">
      <c r="F157" s="46"/>
      <c r="G157" s="46"/>
      <c r="H157" s="46"/>
    </row>
    <row r="158" spans="4:8" ht="13.95" customHeight="1" x14ac:dyDescent="0.3">
      <c r="F158" s="68" t="s">
        <v>1142</v>
      </c>
      <c r="G158" s="73">
        <f>G148*G152*(1-G155)/G150</f>
        <v>0</v>
      </c>
      <c r="H158" s="68" t="s">
        <v>457</v>
      </c>
    </row>
    <row r="159" spans="4:8" ht="13.95" customHeight="1" x14ac:dyDescent="0.3">
      <c r="F159" s="68" t="s">
        <v>1143</v>
      </c>
      <c r="G159" s="73">
        <f>G148*G152*G155/G150</f>
        <v>68.992000000000004</v>
      </c>
      <c r="H159" s="68" t="s">
        <v>457</v>
      </c>
    </row>
    <row r="160" spans="4:8" ht="13.95" customHeight="1" x14ac:dyDescent="0.3">
      <c r="F160" s="68" t="s">
        <v>1144</v>
      </c>
      <c r="G160" s="66">
        <f>G148*G153*(1-G156)/G150</f>
        <v>3.08</v>
      </c>
      <c r="H160" s="68" t="s">
        <v>457</v>
      </c>
    </row>
    <row r="161" spans="5:8" ht="13.95" customHeight="1" x14ac:dyDescent="0.3">
      <c r="F161" s="68" t="s">
        <v>1145</v>
      </c>
      <c r="G161" s="73">
        <f>G148*G153*G156/G150</f>
        <v>0</v>
      </c>
      <c r="H161" s="68" t="s">
        <v>457</v>
      </c>
    </row>
    <row r="162" spans="5:8" ht="1.95" customHeight="1" x14ac:dyDescent="0.3">
      <c r="F162" s="68"/>
      <c r="G162" s="73"/>
      <c r="H162" s="68"/>
    </row>
    <row r="163" spans="5:8" ht="13.95" customHeight="1" x14ac:dyDescent="0.3">
      <c r="F163" s="46" t="str">
        <f xml:space="preserve"> Inputs!E$11</f>
        <v>Aantal weken per jaar</v>
      </c>
      <c r="G163" s="46">
        <f xml:space="preserve"> Inputs!F$11</f>
        <v>52</v>
      </c>
      <c r="H163" s="46" t="str">
        <f xml:space="preserve"> Inputs!G$11</f>
        <v>weken / jaar</v>
      </c>
    </row>
    <row r="164" spans="5:8" ht="1.95" customHeight="1" x14ac:dyDescent="0.3">
      <c r="F164" s="68"/>
      <c r="G164" s="73"/>
      <c r="H164" s="68"/>
    </row>
    <row r="165" spans="5:8" ht="13.95" customHeight="1" x14ac:dyDescent="0.3">
      <c r="F165" s="68" t="s">
        <v>1146</v>
      </c>
      <c r="G165" s="73">
        <f>G158*$G$163</f>
        <v>0</v>
      </c>
      <c r="H165" s="68" t="s">
        <v>456</v>
      </c>
    </row>
    <row r="166" spans="5:8" ht="13.95" customHeight="1" x14ac:dyDescent="0.3">
      <c r="F166" s="68" t="s">
        <v>1147</v>
      </c>
      <c r="G166" s="73">
        <f t="shared" ref="G166:G168" si="2">G159*$G$163</f>
        <v>3587.5840000000003</v>
      </c>
      <c r="H166" s="68" t="s">
        <v>456</v>
      </c>
    </row>
    <row r="167" spans="5:8" ht="13.95" customHeight="1" x14ac:dyDescent="0.3">
      <c r="F167" s="68" t="s">
        <v>1148</v>
      </c>
      <c r="G167" s="73">
        <f t="shared" si="2"/>
        <v>160.16</v>
      </c>
      <c r="H167" s="68" t="s">
        <v>456</v>
      </c>
    </row>
    <row r="168" spans="5:8" ht="13.95" customHeight="1" x14ac:dyDescent="0.3">
      <c r="F168" s="68" t="s">
        <v>1149</v>
      </c>
      <c r="G168" s="73">
        <f t="shared" si="2"/>
        <v>0</v>
      </c>
      <c r="H168" s="68" t="s">
        <v>456</v>
      </c>
    </row>
    <row r="169" spans="5:8" ht="13.95" customHeight="1" x14ac:dyDescent="0.3"/>
    <row r="170" spans="5:8" ht="13.95" customHeight="1" x14ac:dyDescent="0.3">
      <c r="E170" s="53" t="s">
        <v>1576</v>
      </c>
    </row>
    <row r="171" spans="5:8" ht="13.95" customHeight="1" x14ac:dyDescent="0.3">
      <c r="F171" s="64" t="str">
        <f xml:space="preserve"> F$142</f>
        <v>Jaarlijkse gewicht virgin ong. recl., ongeadresseerd normaal (kg)</v>
      </c>
      <c r="G171" s="67">
        <f xml:space="preserve"> G$142</f>
        <v>0</v>
      </c>
      <c r="H171" s="64" t="str">
        <f xml:space="preserve"> H$142</f>
        <v>kg / jaar</v>
      </c>
    </row>
    <row r="172" spans="5:8" ht="13.95" customHeight="1" x14ac:dyDescent="0.3">
      <c r="F172" s="64" t="str">
        <f xml:space="preserve"> F$143</f>
        <v>Jaarlijkse gewicht recycled ong. recl., ongeadresseerd normaal (kg)</v>
      </c>
      <c r="G172" s="67">
        <f xml:space="preserve"> G$143</f>
        <v>936000</v>
      </c>
      <c r="H172" s="64" t="str">
        <f xml:space="preserve"> H$143</f>
        <v>kg / jaar</v>
      </c>
    </row>
    <row r="173" spans="5:8" ht="13.95" customHeight="1" x14ac:dyDescent="0.3">
      <c r="F173" s="64" t="str">
        <f xml:space="preserve"> F$144</f>
        <v>Jaarlijkse gewicht virgin plastic, ongeadresseerd normaal (kg)</v>
      </c>
      <c r="G173" s="67">
        <f xml:space="preserve"> G$144</f>
        <v>2808</v>
      </c>
      <c r="H173" s="64" t="str">
        <f xml:space="preserve"> H$144</f>
        <v>kg / jaar</v>
      </c>
    </row>
    <row r="174" spans="5:8" ht="13.95" customHeight="1" x14ac:dyDescent="0.3">
      <c r="F174" s="64" t="str">
        <f xml:space="preserve"> F$145</f>
        <v>Jaarlijkse gewicht recycled plastic, ongeadresseerd normaal (kg)</v>
      </c>
      <c r="G174" s="67">
        <f xml:space="preserve"> G$145</f>
        <v>0</v>
      </c>
      <c r="H174" s="64" t="str">
        <f xml:space="preserve"> H$145</f>
        <v>kg / jaar</v>
      </c>
    </row>
    <row r="175" spans="5:8" ht="1.95" customHeight="1" x14ac:dyDescent="0.3"/>
    <row r="176" spans="5:8" ht="13.95" customHeight="1" x14ac:dyDescent="0.3">
      <c r="F176" s="64" t="str">
        <f xml:space="preserve"> F$165</f>
        <v>Jaarlijkse gewicht virgin ong. recl., geadresseerd selectie (kg)</v>
      </c>
      <c r="G176" s="67">
        <f xml:space="preserve"> G$165</f>
        <v>0</v>
      </c>
      <c r="H176" s="64" t="str">
        <f xml:space="preserve"> H$165</f>
        <v>kg / jaar</v>
      </c>
    </row>
    <row r="177" spans="4:12" ht="13.95" customHeight="1" x14ac:dyDescent="0.3">
      <c r="F177" s="64" t="str">
        <f xml:space="preserve"> F$166</f>
        <v>Jaarlijkse gewicht recycled ong. recl., geadresseerd selectie (kg)</v>
      </c>
      <c r="G177" s="67">
        <f xml:space="preserve"> G$166</f>
        <v>3587.5840000000003</v>
      </c>
      <c r="H177" s="64" t="str">
        <f xml:space="preserve"> H$166</f>
        <v>kg / jaar</v>
      </c>
    </row>
    <row r="178" spans="4:12" ht="13.95" customHeight="1" x14ac:dyDescent="0.3">
      <c r="F178" s="64" t="str">
        <f xml:space="preserve"> F$167</f>
        <v>Jaarlijkse gewicht virgin plastic, geadresseerd selectie (kg)</v>
      </c>
      <c r="G178" s="67">
        <f xml:space="preserve"> G$167</f>
        <v>160.16</v>
      </c>
      <c r="H178" s="64" t="str">
        <f xml:space="preserve"> H$167</f>
        <v>kg / jaar</v>
      </c>
    </row>
    <row r="179" spans="4:12" ht="13.95" customHeight="1" x14ac:dyDescent="0.3">
      <c r="F179" s="64" t="str">
        <f xml:space="preserve"> F$168</f>
        <v>Jaarlijkse gewicht recycled plastic, geadresseerd selectie (kg)</v>
      </c>
      <c r="G179" s="67">
        <f xml:space="preserve"> G$168</f>
        <v>0</v>
      </c>
      <c r="H179" s="64" t="str">
        <f xml:space="preserve"> H$168</f>
        <v>kg / jaar</v>
      </c>
    </row>
    <row r="180" spans="4:12" ht="1.95" customHeight="1" x14ac:dyDescent="0.3">
      <c r="F180" s="64"/>
      <c r="G180" s="67"/>
      <c r="H180" s="64"/>
    </row>
    <row r="181" spans="4:12" ht="13.95" customHeight="1" x14ac:dyDescent="0.3">
      <c r="F181" s="64" t="str">
        <f xml:space="preserve"> F$215</f>
        <v>Jaarlijkse gewicht opslag lokale folders (kg), recycled</v>
      </c>
      <c r="G181" s="127">
        <f xml:space="preserve"> G$215</f>
        <v>55598.379200000003</v>
      </c>
      <c r="H181" s="64" t="str">
        <f xml:space="preserve"> H$215</f>
        <v>kg / jaar</v>
      </c>
      <c r="J181" s="43"/>
    </row>
    <row r="182" spans="4:12" ht="1.95" customHeight="1" x14ac:dyDescent="0.3">
      <c r="J182" s="43"/>
    </row>
    <row r="183" spans="4:12" ht="13.95" customHeight="1" x14ac:dyDescent="0.3">
      <c r="F183" t="s">
        <v>1577</v>
      </c>
      <c r="G183" s="66">
        <f>G171+G176</f>
        <v>0</v>
      </c>
      <c r="H183" s="64" t="str">
        <f xml:space="preserve"> H$165</f>
        <v>kg / jaar</v>
      </c>
      <c r="J183" s="43"/>
      <c r="K183" s="43"/>
      <c r="L183" s="43"/>
    </row>
    <row r="184" spans="4:12" ht="13.95" customHeight="1" x14ac:dyDescent="0.3">
      <c r="F184" s="43" t="s">
        <v>1578</v>
      </c>
      <c r="G184" s="122">
        <f>G172+G177+G181</f>
        <v>995185.9632</v>
      </c>
      <c r="H184" s="95" t="str">
        <f xml:space="preserve"> H$166</f>
        <v>kg / jaar</v>
      </c>
      <c r="J184" s="43"/>
      <c r="K184" s="43"/>
      <c r="L184" s="43"/>
    </row>
    <row r="185" spans="4:12" ht="13.95" customHeight="1" x14ac:dyDescent="0.3">
      <c r="F185" t="s">
        <v>1579</v>
      </c>
      <c r="G185" s="66">
        <f>G173+G178</f>
        <v>2968.16</v>
      </c>
      <c r="H185" s="64" t="str">
        <f xml:space="preserve"> H$167</f>
        <v>kg / jaar</v>
      </c>
      <c r="J185" s="43"/>
      <c r="K185" s="43"/>
      <c r="L185" s="43"/>
    </row>
    <row r="186" spans="4:12" ht="13.95" customHeight="1" x14ac:dyDescent="0.3">
      <c r="F186" t="s">
        <v>1580</v>
      </c>
      <c r="G186" s="66">
        <f>G174+G179</f>
        <v>0</v>
      </c>
      <c r="H186" s="64" t="str">
        <f xml:space="preserve"> H$168</f>
        <v>kg / jaar</v>
      </c>
      <c r="J186" s="43"/>
      <c r="K186" s="43"/>
      <c r="L186" s="43"/>
    </row>
    <row r="187" spans="4:12" ht="13.95" customHeight="1" x14ac:dyDescent="0.3">
      <c r="J187" s="43"/>
      <c r="K187" s="43"/>
      <c r="L187" s="43"/>
    </row>
    <row r="188" spans="4:12" ht="13.95" customHeight="1" x14ac:dyDescent="0.3">
      <c r="D188" t="s">
        <v>448</v>
      </c>
      <c r="J188" s="43"/>
    </row>
    <row r="189" spans="4:12" ht="13.95" customHeight="1" x14ac:dyDescent="0.3">
      <c r="F189" s="64" t="str">
        <f xml:space="preserve"> F$122</f>
        <v>Aantal huishoudens dat huis-aan-huis ontvangt</v>
      </c>
      <c r="G189" s="67">
        <f xml:space="preserve"> G$122</f>
        <v>51000</v>
      </c>
      <c r="H189" s="64" t="str">
        <f xml:space="preserve"> H$122</f>
        <v>huishoudens</v>
      </c>
      <c r="J189" s="43"/>
    </row>
    <row r="190" spans="4:12" ht="1.95" customHeight="1" x14ac:dyDescent="0.3">
      <c r="F190" s="64"/>
      <c r="G190" s="67"/>
      <c r="H190" s="64"/>
      <c r="J190" s="43"/>
    </row>
    <row r="191" spans="4:12" ht="13.95" customHeight="1" x14ac:dyDescent="0.3">
      <c r="F191" s="46" t="str">
        <f xml:space="preserve"> Inputs!E$10</f>
        <v>Aantal gram per kilo</v>
      </c>
      <c r="G191" s="46">
        <f xml:space="preserve"> Inputs!F$10</f>
        <v>1000</v>
      </c>
      <c r="H191" s="46" t="str">
        <f xml:space="preserve"> Inputs!G$10</f>
        <v>gram / kilo</v>
      </c>
      <c r="J191" s="43"/>
    </row>
    <row r="192" spans="4:12" ht="1.95" customHeight="1" x14ac:dyDescent="0.3">
      <c r="J192" s="43"/>
    </row>
    <row r="193" spans="6:10" ht="13.95" customHeight="1" x14ac:dyDescent="0.3">
      <c r="F193" s="64" t="str">
        <f xml:space="preserve"> F$71</f>
        <v>Wekelijkse gewicht huis-aan-huisbladen</v>
      </c>
      <c r="G193" s="64">
        <f xml:space="preserve"> G$71</f>
        <v>65</v>
      </c>
      <c r="H193" s="64" t="str">
        <f xml:space="preserve"> H$71</f>
        <v>gram</v>
      </c>
      <c r="J193" s="43"/>
    </row>
    <row r="194" spans="6:10" ht="13.95" customHeight="1" x14ac:dyDescent="0.3">
      <c r="F194" s="64" t="str">
        <f xml:space="preserve"> F$72</f>
        <v>Wekelijkse gewicht aan verpakking huis-aan-huisbladen</v>
      </c>
      <c r="G194" s="64">
        <f xml:space="preserve"> G$72</f>
        <v>0</v>
      </c>
      <c r="H194" s="64" t="str">
        <f xml:space="preserve"> H$72</f>
        <v>gram</v>
      </c>
      <c r="J194" s="43"/>
    </row>
    <row r="195" spans="6:10" ht="1.95" customHeight="1" x14ac:dyDescent="0.3">
      <c r="J195" s="43"/>
    </row>
    <row r="196" spans="6:10" ht="13.95" customHeight="1" x14ac:dyDescent="0.3">
      <c r="F196" s="64" t="str">
        <f xml:space="preserve"> F$75</f>
        <v>% van papier huis-aan-huisbladen uit gerecycled materiaal</v>
      </c>
      <c r="G196" s="65">
        <f xml:space="preserve"> G$75</f>
        <v>1</v>
      </c>
      <c r="H196" s="64" t="str">
        <f xml:space="preserve"> H$75</f>
        <v>%</v>
      </c>
      <c r="J196" s="43"/>
    </row>
    <row r="197" spans="6:10" ht="13.95" customHeight="1" x14ac:dyDescent="0.3">
      <c r="F197" s="46" t="str">
        <f xml:space="preserve"> Inputs!E$25</f>
        <v>% van plastic huis-aan-huis uit recycled materiaal</v>
      </c>
      <c r="G197" s="48">
        <f xml:space="preserve"> Inputs!F$25</f>
        <v>0</v>
      </c>
      <c r="H197" s="46" t="str">
        <f xml:space="preserve"> Inputs!G$25</f>
        <v>%</v>
      </c>
      <c r="J197" s="43"/>
    </row>
    <row r="198" spans="6:10" ht="1.95" customHeight="1" x14ac:dyDescent="0.3">
      <c r="F198" s="46"/>
      <c r="G198" s="46"/>
      <c r="H198" s="46"/>
      <c r="J198" s="43"/>
    </row>
    <row r="199" spans="6:10" ht="13.95" customHeight="1" x14ac:dyDescent="0.3">
      <c r="F199" s="68" t="s">
        <v>459</v>
      </c>
      <c r="G199" s="73">
        <f>G189*G193*(1-G196)/G191</f>
        <v>0</v>
      </c>
      <c r="H199" s="68" t="s">
        <v>457</v>
      </c>
      <c r="J199" s="43"/>
    </row>
    <row r="200" spans="6:10" ht="13.95" customHeight="1" x14ac:dyDescent="0.3">
      <c r="F200" s="68" t="s">
        <v>460</v>
      </c>
      <c r="G200" s="73">
        <f>G189*G193*G196/G191</f>
        <v>3315</v>
      </c>
      <c r="H200" s="68" t="s">
        <v>457</v>
      </c>
      <c r="J200" s="43"/>
    </row>
    <row r="201" spans="6:10" ht="13.95" customHeight="1" x14ac:dyDescent="0.3">
      <c r="F201" s="68" t="s">
        <v>461</v>
      </c>
      <c r="G201" s="66">
        <f>G189*G194*(1-G197)/G191</f>
        <v>0</v>
      </c>
      <c r="H201" s="68" t="s">
        <v>457</v>
      </c>
      <c r="J201" s="43"/>
    </row>
    <row r="202" spans="6:10" ht="13.95" customHeight="1" x14ac:dyDescent="0.3">
      <c r="F202" s="68" t="s">
        <v>462</v>
      </c>
      <c r="G202" s="73">
        <f>G189*G194*G197/G191</f>
        <v>0</v>
      </c>
      <c r="H202" s="68" t="s">
        <v>457</v>
      </c>
      <c r="J202" s="43"/>
    </row>
    <row r="203" spans="6:10" ht="1.95" customHeight="1" x14ac:dyDescent="0.3">
      <c r="F203" s="68"/>
      <c r="G203" s="73"/>
      <c r="H203" s="68"/>
      <c r="J203" s="43"/>
    </row>
    <row r="204" spans="6:10" ht="13.95" customHeight="1" x14ac:dyDescent="0.3">
      <c r="F204" s="46" t="str">
        <f xml:space="preserve"> Inputs!E$11</f>
        <v>Aantal weken per jaar</v>
      </c>
      <c r="G204" s="46">
        <f xml:space="preserve"> Inputs!F$11</f>
        <v>52</v>
      </c>
      <c r="H204" s="46" t="str">
        <f xml:space="preserve"> Inputs!G$11</f>
        <v>weken / jaar</v>
      </c>
      <c r="J204" s="43"/>
    </row>
    <row r="205" spans="6:10" ht="1.95" customHeight="1" x14ac:dyDescent="0.3">
      <c r="F205" s="68"/>
      <c r="G205" s="73"/>
      <c r="H205" s="68"/>
      <c r="J205" s="43"/>
    </row>
    <row r="206" spans="6:10" ht="13.95" customHeight="1" x14ac:dyDescent="0.3">
      <c r="F206" s="68" t="s">
        <v>463</v>
      </c>
      <c r="G206" s="73">
        <f>G199*$G$204</f>
        <v>0</v>
      </c>
      <c r="H206" s="68" t="s">
        <v>456</v>
      </c>
      <c r="J206" s="43"/>
    </row>
    <row r="207" spans="6:10" ht="13.95" customHeight="1" x14ac:dyDescent="0.3">
      <c r="F207" s="68" t="s">
        <v>464</v>
      </c>
      <c r="G207" s="73">
        <f t="shared" ref="G207:G209" si="3">G200*$G$204</f>
        <v>172380</v>
      </c>
      <c r="H207" s="68" t="s">
        <v>456</v>
      </c>
      <c r="J207" s="43"/>
    </row>
    <row r="208" spans="6:10" ht="13.95" customHeight="1" x14ac:dyDescent="0.3">
      <c r="F208" s="68" t="s">
        <v>465</v>
      </c>
      <c r="G208" s="73">
        <f t="shared" si="3"/>
        <v>0</v>
      </c>
      <c r="H208" s="68" t="s">
        <v>456</v>
      </c>
      <c r="J208" s="43"/>
    </row>
    <row r="209" spans="4:10" ht="13.95" customHeight="1" x14ac:dyDescent="0.3">
      <c r="F209" s="68" t="s">
        <v>466</v>
      </c>
      <c r="G209" s="73">
        <f t="shared" si="3"/>
        <v>0</v>
      </c>
      <c r="H209" s="68" t="s">
        <v>456</v>
      </c>
      <c r="J209" s="43"/>
    </row>
    <row r="210" spans="4:10" ht="13.95" customHeight="1" x14ac:dyDescent="0.3">
      <c r="J210" s="43"/>
    </row>
    <row r="211" spans="4:10" ht="13.95" customHeight="1" x14ac:dyDescent="0.3">
      <c r="D211" t="s">
        <v>1571</v>
      </c>
      <c r="J211" s="43"/>
    </row>
    <row r="212" spans="4:10" ht="13.95" customHeight="1" x14ac:dyDescent="0.3">
      <c r="F212" s="46" t="str">
        <f xml:space="preserve"> Inputs!E$27</f>
        <v>Opslag lokale folders</v>
      </c>
      <c r="G212" s="48">
        <f xml:space="preserve"> Inputs!F$27</f>
        <v>0.05</v>
      </c>
      <c r="H212" s="46" t="str">
        <f xml:space="preserve"> Inputs!G$27</f>
        <v>%</v>
      </c>
      <c r="J212" s="43"/>
    </row>
    <row r="213" spans="4:10" ht="13.95" customHeight="1" x14ac:dyDescent="0.3">
      <c r="F213" t="s">
        <v>1572</v>
      </c>
      <c r="G213" s="128">
        <f>G221+G222+G226+G227+G231+G232</f>
        <v>1111967.584</v>
      </c>
      <c r="H213" t="s">
        <v>1573</v>
      </c>
      <c r="J213" s="43"/>
    </row>
    <row r="214" spans="4:10" ht="1.95" customHeight="1" x14ac:dyDescent="0.3">
      <c r="G214" s="128"/>
      <c r="J214" s="43"/>
    </row>
    <row r="215" spans="4:10" ht="12" customHeight="1" x14ac:dyDescent="0.3">
      <c r="F215" t="s">
        <v>1574</v>
      </c>
      <c r="G215" s="128">
        <f>G212*G213</f>
        <v>55598.379200000003</v>
      </c>
      <c r="H215" t="s">
        <v>456</v>
      </c>
      <c r="J215" s="43"/>
    </row>
    <row r="216" spans="4:10" ht="12" customHeight="1" x14ac:dyDescent="0.3">
      <c r="F216" s="46" t="str">
        <f xml:space="preserve"> Inputs!E$11</f>
        <v>Aantal weken per jaar</v>
      </c>
      <c r="G216" s="46">
        <f xml:space="preserve"> Inputs!F$11</f>
        <v>52</v>
      </c>
      <c r="H216" s="46" t="str">
        <f xml:space="preserve"> Inputs!G$11</f>
        <v>weken / jaar</v>
      </c>
      <c r="J216" s="43"/>
    </row>
    <row r="217" spans="4:10" ht="1.95" customHeight="1" x14ac:dyDescent="0.3">
      <c r="G217" s="128"/>
      <c r="J217" s="43"/>
    </row>
    <row r="218" spans="4:10" ht="12" customHeight="1" x14ac:dyDescent="0.3">
      <c r="F218" t="s">
        <v>1581</v>
      </c>
      <c r="G218" s="128">
        <f>G215/G216</f>
        <v>1069.1996000000001</v>
      </c>
      <c r="H218" t="s">
        <v>457</v>
      </c>
      <c r="J218" s="43"/>
    </row>
    <row r="219" spans="4:10" ht="13.95" customHeight="1" x14ac:dyDescent="0.3">
      <c r="J219" s="43"/>
    </row>
    <row r="220" spans="4:10" ht="13.95" customHeight="1" x14ac:dyDescent="0.3">
      <c r="D220" t="s">
        <v>489</v>
      </c>
      <c r="J220" s="43"/>
    </row>
    <row r="221" spans="4:10" ht="13.95" customHeight="1" x14ac:dyDescent="0.3">
      <c r="F221" s="64" t="str">
        <f xml:space="preserve"> F$142</f>
        <v>Jaarlijkse gewicht virgin ong. recl., ongeadresseerd normaal (kg)</v>
      </c>
      <c r="G221" s="127">
        <f xml:space="preserve"> G$142</f>
        <v>0</v>
      </c>
      <c r="H221" s="64" t="str">
        <f xml:space="preserve"> H$142</f>
        <v>kg / jaar</v>
      </c>
      <c r="J221" s="43"/>
    </row>
    <row r="222" spans="4:10" ht="13.95" customHeight="1" x14ac:dyDescent="0.3">
      <c r="F222" s="64" t="str">
        <f xml:space="preserve"> F$143</f>
        <v>Jaarlijkse gewicht recycled ong. recl., ongeadresseerd normaal (kg)</v>
      </c>
      <c r="G222" s="127">
        <f xml:space="preserve"> G$143</f>
        <v>936000</v>
      </c>
      <c r="H222" s="64" t="str">
        <f xml:space="preserve"> H$143</f>
        <v>kg / jaar</v>
      </c>
      <c r="J222" s="43"/>
    </row>
    <row r="223" spans="4:10" ht="13.95" customHeight="1" x14ac:dyDescent="0.3">
      <c r="F223" s="64" t="str">
        <f xml:space="preserve"> F$144</f>
        <v>Jaarlijkse gewicht virgin plastic, ongeadresseerd normaal (kg)</v>
      </c>
      <c r="G223" s="127">
        <f xml:space="preserve"> G$144</f>
        <v>2808</v>
      </c>
      <c r="H223" s="64" t="str">
        <f xml:space="preserve"> H$144</f>
        <v>kg / jaar</v>
      </c>
      <c r="J223" s="43"/>
    </row>
    <row r="224" spans="4:10" ht="13.95" customHeight="1" x14ac:dyDescent="0.3">
      <c r="F224" s="64" t="str">
        <f xml:space="preserve"> F$145</f>
        <v>Jaarlijkse gewicht recycled plastic, ongeadresseerd normaal (kg)</v>
      </c>
      <c r="G224" s="127">
        <f xml:space="preserve"> G$145</f>
        <v>0</v>
      </c>
      <c r="H224" s="64" t="str">
        <f xml:space="preserve"> H$145</f>
        <v>kg / jaar</v>
      </c>
      <c r="J224" s="43"/>
    </row>
    <row r="225" spans="6:10" ht="1.95" customHeight="1" x14ac:dyDescent="0.3">
      <c r="G225" s="128"/>
      <c r="J225" s="43"/>
    </row>
    <row r="226" spans="6:10" ht="13.95" customHeight="1" x14ac:dyDescent="0.3">
      <c r="F226" s="64" t="str">
        <f xml:space="preserve"> F$165</f>
        <v>Jaarlijkse gewicht virgin ong. recl., geadresseerd selectie (kg)</v>
      </c>
      <c r="G226" s="127">
        <f xml:space="preserve"> G$165</f>
        <v>0</v>
      </c>
      <c r="H226" s="64" t="str">
        <f xml:space="preserve"> H$165</f>
        <v>kg / jaar</v>
      </c>
      <c r="J226" s="43"/>
    </row>
    <row r="227" spans="6:10" ht="13.95" customHeight="1" x14ac:dyDescent="0.3">
      <c r="F227" s="64" t="str">
        <f xml:space="preserve"> F$166</f>
        <v>Jaarlijkse gewicht recycled ong. recl., geadresseerd selectie (kg)</v>
      </c>
      <c r="G227" s="127">
        <f xml:space="preserve"> G$166</f>
        <v>3587.5840000000003</v>
      </c>
      <c r="H227" s="64" t="str">
        <f xml:space="preserve"> H$166</f>
        <v>kg / jaar</v>
      </c>
      <c r="J227" s="43"/>
    </row>
    <row r="228" spans="6:10" ht="13.95" customHeight="1" x14ac:dyDescent="0.3">
      <c r="F228" s="64" t="str">
        <f xml:space="preserve"> F$167</f>
        <v>Jaarlijkse gewicht virgin plastic, geadresseerd selectie (kg)</v>
      </c>
      <c r="G228" s="127">
        <f xml:space="preserve"> G$167</f>
        <v>160.16</v>
      </c>
      <c r="H228" s="64" t="str">
        <f xml:space="preserve"> H$167</f>
        <v>kg / jaar</v>
      </c>
      <c r="J228" s="43"/>
    </row>
    <row r="229" spans="6:10" ht="13.95" customHeight="1" x14ac:dyDescent="0.3">
      <c r="F229" s="64" t="str">
        <f xml:space="preserve"> F$168</f>
        <v>Jaarlijkse gewicht recycled plastic, geadresseerd selectie (kg)</v>
      </c>
      <c r="G229" s="127">
        <f xml:space="preserve"> G$168</f>
        <v>0</v>
      </c>
      <c r="H229" s="64" t="str">
        <f xml:space="preserve"> H$168</f>
        <v>kg / jaar</v>
      </c>
      <c r="J229" s="43"/>
    </row>
    <row r="230" spans="6:10" ht="1.95" customHeight="1" x14ac:dyDescent="0.3">
      <c r="G230" s="128"/>
      <c r="J230" s="43"/>
    </row>
    <row r="231" spans="6:10" ht="13.8" customHeight="1" x14ac:dyDescent="0.3">
      <c r="F231" s="64" t="str">
        <f xml:space="preserve"> F$206</f>
        <v>Jaarlijkse gewicht virgin papier, huis-aan-huis (kg)</v>
      </c>
      <c r="G231" s="127">
        <f xml:space="preserve"> G$206</f>
        <v>0</v>
      </c>
      <c r="H231" s="64" t="str">
        <f xml:space="preserve"> H$206</f>
        <v>kg / jaar</v>
      </c>
      <c r="J231" s="43"/>
    </row>
    <row r="232" spans="6:10" ht="13.95" customHeight="1" x14ac:dyDescent="0.3">
      <c r="F232" s="64" t="str">
        <f xml:space="preserve"> F$207</f>
        <v>Jaarlijkse gewicht recycled papier, huis-aan-huis (kg)</v>
      </c>
      <c r="G232" s="127">
        <f xml:space="preserve"> G$207</f>
        <v>172380</v>
      </c>
      <c r="H232" s="64" t="str">
        <f xml:space="preserve"> H$207</f>
        <v>kg / jaar</v>
      </c>
      <c r="J232" s="43"/>
    </row>
    <row r="233" spans="6:10" ht="13.95" customHeight="1" x14ac:dyDescent="0.3">
      <c r="F233" s="64" t="str">
        <f xml:space="preserve"> F$208</f>
        <v>Jaarlijkse gewicht virgin plastic, huis-aan-huis (kg)</v>
      </c>
      <c r="G233" s="127">
        <f xml:space="preserve"> G$208</f>
        <v>0</v>
      </c>
      <c r="H233" s="64" t="str">
        <f xml:space="preserve"> H$208</f>
        <v>kg / jaar</v>
      </c>
      <c r="J233" s="43"/>
    </row>
    <row r="234" spans="6:10" ht="13.95" customHeight="1" x14ac:dyDescent="0.3">
      <c r="F234" s="64" t="str">
        <f xml:space="preserve"> F$209</f>
        <v>Jaarlijkse gewicht recycled plastic, huis-aan-huis (kg)</v>
      </c>
      <c r="G234" s="127">
        <f xml:space="preserve"> G$209</f>
        <v>0</v>
      </c>
      <c r="H234" s="64" t="str">
        <f xml:space="preserve"> H$209</f>
        <v>kg / jaar</v>
      </c>
      <c r="J234" s="43"/>
    </row>
    <row r="235" spans="6:10" ht="1.95" customHeight="1" x14ac:dyDescent="0.3">
      <c r="F235" s="64"/>
      <c r="G235" s="127"/>
      <c r="H235" s="64"/>
      <c r="J235" s="43"/>
    </row>
    <row r="236" spans="6:10" ht="13.95" customHeight="1" x14ac:dyDescent="0.3">
      <c r="F236" s="64" t="str">
        <f xml:space="preserve"> F$215</f>
        <v>Jaarlijkse gewicht opslag lokale folders (kg), recycled</v>
      </c>
      <c r="G236" s="127">
        <f xml:space="preserve"> G$215</f>
        <v>55598.379200000003</v>
      </c>
      <c r="H236" s="64" t="str">
        <f xml:space="preserve"> H$215</f>
        <v>kg / jaar</v>
      </c>
      <c r="J236" s="43"/>
    </row>
    <row r="237" spans="6:10" ht="1.95" customHeight="1" x14ac:dyDescent="0.3">
      <c r="G237" s="128"/>
      <c r="J237" s="43"/>
    </row>
    <row r="238" spans="6:10" ht="13.95" customHeight="1" x14ac:dyDescent="0.3">
      <c r="F238" t="s">
        <v>490</v>
      </c>
      <c r="G238" s="128">
        <f>SUM(G221,G226,G231)</f>
        <v>0</v>
      </c>
      <c r="H238" t="s">
        <v>456</v>
      </c>
      <c r="J238" s="43"/>
    </row>
    <row r="239" spans="6:10" ht="13.95" customHeight="1" x14ac:dyDescent="0.3">
      <c r="F239" t="s">
        <v>491</v>
      </c>
      <c r="G239" s="128">
        <f>SUM(G222,G227,G232,G236)</f>
        <v>1167565.9632000001</v>
      </c>
      <c r="H239" t="s">
        <v>456</v>
      </c>
      <c r="J239" s="186"/>
    </row>
    <row r="240" spans="6:10" ht="13.95" customHeight="1" x14ac:dyDescent="0.3">
      <c r="F240" t="s">
        <v>492</v>
      </c>
      <c r="G240" s="128">
        <f>SUM(G223,G228,G233)</f>
        <v>2968.16</v>
      </c>
      <c r="H240" t="s">
        <v>456</v>
      </c>
      <c r="J240" s="43"/>
    </row>
    <row r="241" spans="3:10" ht="13.95" customHeight="1" x14ac:dyDescent="0.3">
      <c r="F241" t="s">
        <v>493</v>
      </c>
      <c r="G241" s="128">
        <f>SUM(G224,G229,G234)</f>
        <v>0</v>
      </c>
      <c r="H241" t="s">
        <v>456</v>
      </c>
      <c r="J241" s="43"/>
    </row>
    <row r="242" spans="3:10" ht="1.95" customHeight="1" x14ac:dyDescent="0.3">
      <c r="G242" s="128"/>
      <c r="J242" s="43"/>
    </row>
    <row r="243" spans="3:10" ht="13.95" customHeight="1" x14ac:dyDescent="0.3">
      <c r="F243" t="s">
        <v>500</v>
      </c>
      <c r="G243" s="128">
        <f>G238+G239</f>
        <v>1167565.9632000001</v>
      </c>
      <c r="H243" t="s">
        <v>456</v>
      </c>
      <c r="J243" s="43"/>
    </row>
    <row r="244" spans="3:10" ht="13.95" customHeight="1" x14ac:dyDescent="0.3">
      <c r="F244" t="s">
        <v>501</v>
      </c>
      <c r="G244" s="128">
        <f>G240+G241</f>
        <v>2968.16</v>
      </c>
      <c r="H244" t="s">
        <v>456</v>
      </c>
      <c r="J244" s="43"/>
    </row>
    <row r="245" spans="3:10" ht="1.95" customHeight="1" x14ac:dyDescent="0.3">
      <c r="G245" s="128"/>
    </row>
    <row r="246" spans="3:10" ht="13.95" customHeight="1" x14ac:dyDescent="0.3">
      <c r="F246" t="s">
        <v>502</v>
      </c>
      <c r="G246" s="128">
        <f>SUM(G238:G241)</f>
        <v>1170534.1232</v>
      </c>
      <c r="H246" t="s">
        <v>456</v>
      </c>
    </row>
    <row r="247" spans="3:10" ht="13.95" customHeight="1" x14ac:dyDescent="0.3"/>
    <row r="248" spans="3:10" ht="13.95" customHeight="1" x14ac:dyDescent="0.3">
      <c r="C248" s="57" t="s">
        <v>472</v>
      </c>
      <c r="F248" s="46"/>
      <c r="G248" s="46"/>
      <c r="H248" s="46"/>
    </row>
    <row r="249" spans="3:10" ht="13.95" customHeight="1" x14ac:dyDescent="0.3">
      <c r="D249" t="s">
        <v>487</v>
      </c>
      <c r="F249" s="46"/>
      <c r="G249" s="46"/>
      <c r="H249" s="46"/>
    </row>
    <row r="250" spans="3:10" ht="13.95" customHeight="1" x14ac:dyDescent="0.3">
      <c r="E250" s="53" t="s">
        <v>904</v>
      </c>
      <c r="F250" s="46"/>
      <c r="G250" s="46"/>
      <c r="H250" s="46"/>
    </row>
    <row r="251" spans="3:10" ht="13.95" customHeight="1" x14ac:dyDescent="0.3">
      <c r="F251" s="86" t="str">
        <f xml:space="preserve"> Inputs!E$32</f>
        <v>Virgin bedrukt papier, hernieuwbare energie, biomassa</v>
      </c>
      <c r="G251" s="46">
        <f xml:space="preserve"> Inputs!F$32</f>
        <v>27.245000000000001</v>
      </c>
      <c r="H251" s="46" t="str">
        <f xml:space="preserve"> Inputs!G$32</f>
        <v>MJ-eq / kg</v>
      </c>
    </row>
    <row r="252" spans="3:10" ht="13.95" customHeight="1" x14ac:dyDescent="0.3">
      <c r="F252" s="46" t="str">
        <f xml:space="preserve"> Inputs!E$33</f>
        <v>Virgin bedrukt papier, hernieuwbare energie, geothermie</v>
      </c>
      <c r="G252" s="46">
        <f xml:space="preserve"> Inputs!F$33</f>
        <v>7.4050000000000005E-2</v>
      </c>
      <c r="H252" s="46" t="str">
        <f xml:space="preserve"> Inputs!G$33</f>
        <v>MJ-eq / kg</v>
      </c>
    </row>
    <row r="253" spans="3:10" ht="13.95" customHeight="1" x14ac:dyDescent="0.3">
      <c r="F253" s="46" t="str">
        <f xml:space="preserve"> Inputs!E$34</f>
        <v>Virgin bedrukt papier, hernieuwbare energie, zon</v>
      </c>
      <c r="G253" s="46">
        <f xml:space="preserve"> Inputs!F$34</f>
        <v>4.6504000000000001E-4</v>
      </c>
      <c r="H253" s="46" t="str">
        <f xml:space="preserve"> Inputs!G$34</f>
        <v>MJ-eq / kg</v>
      </c>
    </row>
    <row r="254" spans="3:10" ht="13.95" customHeight="1" x14ac:dyDescent="0.3">
      <c r="F254" s="46" t="str">
        <f xml:space="preserve"> Inputs!E$35</f>
        <v>Virgin bedrukt papier, hernieuwbare energie, water</v>
      </c>
      <c r="G254" s="46">
        <f xml:space="preserve"> Inputs!F$35</f>
        <v>2.1696</v>
      </c>
      <c r="H254" s="46" t="str">
        <f xml:space="preserve"> Inputs!G$35</f>
        <v>MJ-eq / kg</v>
      </c>
    </row>
    <row r="255" spans="3:10" ht="13.95" customHeight="1" x14ac:dyDescent="0.3">
      <c r="F255" s="46" t="str">
        <f xml:space="preserve"> Inputs!E$36</f>
        <v>Virgin bedrukt papier, hernieuwbare energie, wind</v>
      </c>
      <c r="G255" s="46">
        <f xml:space="preserve"> Inputs!F$36</f>
        <v>1.0834999999999999</v>
      </c>
      <c r="H255" s="46" t="str">
        <f xml:space="preserve"> Inputs!G$36</f>
        <v>MJ-eq / kg</v>
      </c>
    </row>
    <row r="256" spans="3:10" ht="1.95" customHeight="1" x14ac:dyDescent="0.3">
      <c r="F256" s="46"/>
      <c r="G256" s="46"/>
      <c r="H256" s="46"/>
    </row>
    <row r="257" spans="6:8" ht="13.95" customHeight="1" x14ac:dyDescent="0.3">
      <c r="F257" s="46" t="str">
        <f xml:space="preserve"> Inputs!E$38</f>
        <v>Virgin bedrukt papier, niet-hernieuwbare energie, fossiel</v>
      </c>
      <c r="G257" s="46">
        <f xml:space="preserve"> Inputs!F$38</f>
        <v>17.510999999999999</v>
      </c>
      <c r="H257" s="46" t="str">
        <f xml:space="preserve"> Inputs!G$38</f>
        <v>MJ-eq / kg</v>
      </c>
    </row>
    <row r="258" spans="6:8" ht="13.95" customHeight="1" x14ac:dyDescent="0.3">
      <c r="F258" s="46" t="str">
        <f xml:space="preserve"> Inputs!E$39</f>
        <v>Virgin bedrukt papier, niet-hernieuwbare energie, nucleair</v>
      </c>
      <c r="G258" s="46">
        <f xml:space="preserve"> Inputs!F$39</f>
        <v>11.567</v>
      </c>
      <c r="H258" s="46" t="str">
        <f xml:space="preserve"> Inputs!G$39</f>
        <v>MJ-eq / kg</v>
      </c>
    </row>
    <row r="259" spans="6:8" ht="13.95" customHeight="1" x14ac:dyDescent="0.3">
      <c r="F259" s="46" t="str">
        <f xml:space="preserve"> Inputs!E$40</f>
        <v>Virgin bedrukt papier, niet-hernieuwbare energie, oerbos</v>
      </c>
      <c r="G259" s="46">
        <f xml:space="preserve"> Inputs!F$40</f>
        <v>3.0032000000000001E-3</v>
      </c>
      <c r="H259" s="46" t="str">
        <f xml:space="preserve"> Inputs!G$40</f>
        <v>MJ-eq / kg</v>
      </c>
    </row>
    <row r="260" spans="6:8" ht="1.95" customHeight="1" x14ac:dyDescent="0.3">
      <c r="F260" s="46"/>
      <c r="G260" s="46"/>
      <c r="H260" s="46"/>
    </row>
    <row r="261" spans="6:8" ht="13.95" customHeight="1" x14ac:dyDescent="0.3">
      <c r="F261" s="46" t="str">
        <f xml:space="preserve"> Inputs!E$42</f>
        <v>Virgin bedrukt papier, water</v>
      </c>
      <c r="G261" s="46">
        <f xml:space="preserve"> Inputs!F$42</f>
        <v>2.6164E-2</v>
      </c>
      <c r="H261" s="46" t="str">
        <f xml:space="preserve"> Inputs!G$42</f>
        <v>m3 / kg</v>
      </c>
    </row>
    <row r="262" spans="6:8" ht="1.95" customHeight="1" x14ac:dyDescent="0.3">
      <c r="F262" s="46"/>
      <c r="G262" s="46"/>
      <c r="H262" s="46"/>
    </row>
    <row r="263" spans="6:8" ht="13.95" customHeight="1" x14ac:dyDescent="0.3">
      <c r="F263" s="46" t="str">
        <f xml:space="preserve"> Inputs!E$44</f>
        <v>Virgin bedrukt papier, GWP100</v>
      </c>
      <c r="G263" s="46">
        <f xml:space="preserve"> Inputs!F$44</f>
        <v>1.3794999999999999</v>
      </c>
      <c r="H263" s="46" t="str">
        <f xml:space="preserve"> Inputs!G$44</f>
        <v>kg CO2-eq / kg</v>
      </c>
    </row>
    <row r="264" spans="6:8" ht="13.95" customHeight="1" x14ac:dyDescent="0.3">
      <c r="F264" s="46"/>
      <c r="G264" s="46"/>
      <c r="H264" s="46"/>
    </row>
    <row r="265" spans="6:8" ht="13.95" customHeight="1" x14ac:dyDescent="0.3">
      <c r="F265" s="68" t="s">
        <v>905</v>
      </c>
      <c r="G265" s="75">
        <f>SUM(G251:G255)</f>
        <v>30.572615040000002</v>
      </c>
      <c r="H265" s="68" t="s">
        <v>473</v>
      </c>
    </row>
    <row r="266" spans="6:8" ht="13.95" customHeight="1" x14ac:dyDescent="0.3">
      <c r="F266" s="68" t="s">
        <v>906</v>
      </c>
      <c r="G266" s="75">
        <f>SUM(G257:G259)</f>
        <v>29.081003199999998</v>
      </c>
      <c r="H266" s="68" t="s">
        <v>473</v>
      </c>
    </row>
    <row r="267" spans="6:8" ht="13.95" customHeight="1" x14ac:dyDescent="0.3">
      <c r="F267" s="68" t="s">
        <v>907</v>
      </c>
      <c r="G267" s="75">
        <f>G261</f>
        <v>2.6164E-2</v>
      </c>
      <c r="H267" s="68" t="s">
        <v>474</v>
      </c>
    </row>
    <row r="268" spans="6:8" ht="13.95" customHeight="1" x14ac:dyDescent="0.3">
      <c r="F268" s="68" t="s">
        <v>908</v>
      </c>
      <c r="G268" s="75">
        <f>G263</f>
        <v>1.3794999999999999</v>
      </c>
      <c r="H268" s="68" t="s">
        <v>475</v>
      </c>
    </row>
    <row r="269" spans="6:8" ht="1.95" customHeight="1" x14ac:dyDescent="0.3">
      <c r="F269" s="46"/>
      <c r="G269" s="46"/>
      <c r="H269" s="46"/>
    </row>
    <row r="270" spans="6:8" ht="13.95" customHeight="1" x14ac:dyDescent="0.3">
      <c r="F270" s="64" t="str">
        <f xml:space="preserve"> F$183</f>
        <v>Jaarlijkse gewicht virgin papier ongeaddr. + geaddr. + lokaal reclamedrukwerk (kg)</v>
      </c>
      <c r="G270" s="67">
        <f xml:space="preserve"> G$183</f>
        <v>0</v>
      </c>
      <c r="H270" s="64" t="str">
        <f xml:space="preserve"> H$183</f>
        <v>kg / jaar</v>
      </c>
    </row>
    <row r="271" spans="6:8" ht="1.95" customHeight="1" x14ac:dyDescent="0.3">
      <c r="F271" s="46"/>
      <c r="G271" s="46"/>
      <c r="H271" s="46"/>
    </row>
    <row r="272" spans="6:8" ht="13.95" customHeight="1" x14ac:dyDescent="0.3">
      <c r="F272" s="68" t="s">
        <v>909</v>
      </c>
      <c r="G272" s="73">
        <f>G265*$G$270</f>
        <v>0</v>
      </c>
      <c r="H272" s="68" t="s">
        <v>480</v>
      </c>
    </row>
    <row r="273" spans="5:8" ht="13.95" customHeight="1" x14ac:dyDescent="0.3">
      <c r="F273" s="68" t="s">
        <v>910</v>
      </c>
      <c r="G273" s="73">
        <f t="shared" ref="G273:G275" si="4">G266*$G$270</f>
        <v>0</v>
      </c>
      <c r="H273" s="68" t="s">
        <v>480</v>
      </c>
    </row>
    <row r="274" spans="5:8" ht="13.95" customHeight="1" x14ac:dyDescent="0.3">
      <c r="F274" s="68" t="s">
        <v>911</v>
      </c>
      <c r="G274" s="73">
        <f t="shared" si="4"/>
        <v>0</v>
      </c>
      <c r="H274" s="68" t="s">
        <v>481</v>
      </c>
    </row>
    <row r="275" spans="5:8" ht="13.95" customHeight="1" x14ac:dyDescent="0.3">
      <c r="F275" s="68" t="s">
        <v>912</v>
      </c>
      <c r="G275" s="73">
        <f t="shared" si="4"/>
        <v>0</v>
      </c>
      <c r="H275" s="68" t="s">
        <v>482</v>
      </c>
    </row>
    <row r="276" spans="5:8" ht="13.95" customHeight="1" x14ac:dyDescent="0.3">
      <c r="F276" s="46"/>
      <c r="G276" s="46"/>
      <c r="H276" s="46"/>
    </row>
    <row r="277" spans="5:8" ht="13.95" customHeight="1" x14ac:dyDescent="0.3">
      <c r="E277" s="53" t="s">
        <v>1575</v>
      </c>
      <c r="F277" s="46"/>
      <c r="G277" s="46"/>
      <c r="H277" s="46"/>
    </row>
    <row r="278" spans="5:8" ht="13.95" customHeight="1" x14ac:dyDescent="0.3">
      <c r="F278" s="46" t="str">
        <f xml:space="preserve"> Inputs!E$47</f>
        <v>Recycled bedrukt papier per kg output (gerecycled papier), hernieuwbare energie, biomassa</v>
      </c>
      <c r="G278" s="46">
        <f xml:space="preserve"> Inputs!F$47</f>
        <v>11.555</v>
      </c>
      <c r="H278" s="46" t="str">
        <f xml:space="preserve"> Inputs!G$47</f>
        <v>MJ-eq / kg</v>
      </c>
    </row>
    <row r="279" spans="5:8" ht="13.95" customHeight="1" x14ac:dyDescent="0.3">
      <c r="F279" s="46" t="str">
        <f xml:space="preserve"> Inputs!E$48</f>
        <v>Recycled bedrukt papier per kg output (gerecycled papier), hernieuwbare energie, geothermie</v>
      </c>
      <c r="G279" s="46">
        <f xml:space="preserve"> Inputs!F$48</f>
        <v>4.3588000000000002E-2</v>
      </c>
      <c r="H279" s="46" t="str">
        <f xml:space="preserve"> Inputs!G$48</f>
        <v>MJ-eq / kg</v>
      </c>
    </row>
    <row r="280" spans="5:8" ht="13.95" customHeight="1" x14ac:dyDescent="0.3">
      <c r="F280" s="46" t="str">
        <f xml:space="preserve"> Inputs!E$49</f>
        <v>Recycled bedrukt papier per kg output (gerecycled papier), hernieuwbare energie, zon</v>
      </c>
      <c r="G280" s="46">
        <f xml:space="preserve"> Inputs!F$49</f>
        <v>2.9163000000000003E-4</v>
      </c>
      <c r="H280" s="46" t="str">
        <f xml:space="preserve"> Inputs!G$49</f>
        <v>MJ-eq / kg</v>
      </c>
    </row>
    <row r="281" spans="5:8" ht="13.95" customHeight="1" x14ac:dyDescent="0.3">
      <c r="F281" s="46" t="str">
        <f xml:space="preserve"> Inputs!E$50</f>
        <v>Recycled bedrukt papier per kg output (gerecycled papier), hernieuwbare energie, water</v>
      </c>
      <c r="G281" s="46">
        <f xml:space="preserve"> Inputs!F$50</f>
        <v>1.2242999999999999</v>
      </c>
      <c r="H281" s="46" t="str">
        <f xml:space="preserve"> Inputs!G$50</f>
        <v>MJ-eq / kg</v>
      </c>
    </row>
    <row r="282" spans="5:8" ht="13.95" customHeight="1" x14ac:dyDescent="0.3">
      <c r="F282" s="46" t="str">
        <f xml:space="preserve"> Inputs!E$51</f>
        <v>Recycled bedrukt papier per kg output (gerecycled papier), hernieuwbare energie, wind</v>
      </c>
      <c r="G282" s="46">
        <f xml:space="preserve"> Inputs!F$51</f>
        <v>0.63278999999999996</v>
      </c>
      <c r="H282" s="46" t="str">
        <f xml:space="preserve"> Inputs!G$51</f>
        <v>MJ-eq / kg</v>
      </c>
    </row>
    <row r="283" spans="5:8" ht="1.95" customHeight="1" x14ac:dyDescent="0.3">
      <c r="F283" s="46">
        <f xml:space="preserve"> Inputs!E$52</f>
        <v>0</v>
      </c>
      <c r="G283" s="46">
        <f xml:space="preserve"> Inputs!F$52</f>
        <v>0</v>
      </c>
      <c r="H283" s="46">
        <f xml:space="preserve"> Inputs!G$52</f>
        <v>0</v>
      </c>
    </row>
    <row r="284" spans="5:8" ht="13.95" customHeight="1" x14ac:dyDescent="0.3">
      <c r="F284" s="46" t="str">
        <f xml:space="preserve"> Inputs!E$53</f>
        <v>Recycled bedrukt papier per kg output (gerecycled papier), niet-hernieuwbare energie, fossiel</v>
      </c>
      <c r="G284" s="46">
        <f xml:space="preserve"> Inputs!F$53</f>
        <v>13.451000000000001</v>
      </c>
      <c r="H284" s="46" t="str">
        <f xml:space="preserve"> Inputs!G$53</f>
        <v>MJ-eq / kg</v>
      </c>
    </row>
    <row r="285" spans="5:8" ht="13.95" customHeight="1" x14ac:dyDescent="0.3">
      <c r="F285" s="46" t="str">
        <f xml:space="preserve"> Inputs!E$54</f>
        <v>Recycled bedrukt papier per kg output (gerecycled papier), niet-hernieuwbare energie, nucleair</v>
      </c>
      <c r="G285" s="46">
        <f xml:space="preserve"> Inputs!F$54</f>
        <v>6.6791</v>
      </c>
      <c r="H285" s="46" t="str">
        <f xml:space="preserve"> Inputs!G$54</f>
        <v>MJ-eq / kg</v>
      </c>
    </row>
    <row r="286" spans="5:8" ht="13.95" customHeight="1" x14ac:dyDescent="0.3">
      <c r="F286" s="46" t="str">
        <f xml:space="preserve"> Inputs!E$55</f>
        <v>Recycled bedrukt papier per kg output (gerecycled papier), niet-hernieuwbare energie, oerbos</v>
      </c>
      <c r="G286" s="46">
        <f xml:space="preserve"> Inputs!F$55</f>
        <v>1.796E-2</v>
      </c>
      <c r="H286" s="46" t="str">
        <f xml:space="preserve"> Inputs!G$55</f>
        <v>MJ-eq / kg</v>
      </c>
    </row>
    <row r="287" spans="5:8" ht="1.95" customHeight="1" x14ac:dyDescent="0.3">
      <c r="F287" s="46">
        <f xml:space="preserve"> Inputs!E$56</f>
        <v>0</v>
      </c>
      <c r="G287" s="46">
        <f xml:space="preserve"> Inputs!F$56</f>
        <v>0</v>
      </c>
      <c r="H287" s="46">
        <f xml:space="preserve"> Inputs!G$56</f>
        <v>0</v>
      </c>
    </row>
    <row r="288" spans="5:8" ht="13.95" customHeight="1" x14ac:dyDescent="0.3">
      <c r="F288" s="46" t="str">
        <f xml:space="preserve"> Inputs!E$57</f>
        <v>Recycled bedrukt papier per kg output (gerecycled papier), water</v>
      </c>
      <c r="G288" s="46">
        <f xml:space="preserve"> Inputs!F$57</f>
        <v>2.1631999999999998E-2</v>
      </c>
      <c r="H288" s="46" t="str">
        <f xml:space="preserve"> Inputs!G$57</f>
        <v>m3 / kg</v>
      </c>
    </row>
    <row r="289" spans="5:8" ht="1.95" customHeight="1" x14ac:dyDescent="0.3">
      <c r="F289" s="46">
        <f xml:space="preserve"> Inputs!E$58</f>
        <v>0</v>
      </c>
      <c r="G289" s="46">
        <f xml:space="preserve"> Inputs!F$58</f>
        <v>0</v>
      </c>
      <c r="H289" s="46">
        <f xml:space="preserve"> Inputs!G$58</f>
        <v>0</v>
      </c>
    </row>
    <row r="290" spans="5:8" ht="13.95" customHeight="1" x14ac:dyDescent="0.3">
      <c r="F290" s="46" t="str">
        <f xml:space="preserve"> Inputs!E$59</f>
        <v>Recycled bedrukt papier per kg output (gerecycled papier), GWP100</v>
      </c>
      <c r="G290" s="46">
        <f xml:space="preserve"> Inputs!F$59</f>
        <v>1.1591</v>
      </c>
      <c r="H290" s="46" t="str">
        <f xml:space="preserve"> Inputs!G$59</f>
        <v>kg CO2-eq / kg</v>
      </c>
    </row>
    <row r="291" spans="5:8" ht="13.95" customHeight="1" x14ac:dyDescent="0.3">
      <c r="F291" s="46"/>
      <c r="G291" s="46"/>
      <c r="H291" s="46"/>
    </row>
    <row r="292" spans="5:8" ht="13.95" customHeight="1" x14ac:dyDescent="0.3">
      <c r="F292" s="68" t="s">
        <v>914</v>
      </c>
      <c r="G292" s="75">
        <f>SUM(G278:G282)</f>
        <v>13.455969629999998</v>
      </c>
      <c r="H292" s="68" t="s">
        <v>473</v>
      </c>
    </row>
    <row r="293" spans="5:8" ht="13.95" customHeight="1" x14ac:dyDescent="0.3">
      <c r="F293" s="68" t="s">
        <v>915</v>
      </c>
      <c r="G293" s="75">
        <f>SUM(G284:G286)</f>
        <v>20.148059999999997</v>
      </c>
      <c r="H293" s="68" t="s">
        <v>473</v>
      </c>
    </row>
    <row r="294" spans="5:8" ht="13.95" customHeight="1" x14ac:dyDescent="0.3">
      <c r="F294" s="68" t="s">
        <v>916</v>
      </c>
      <c r="G294" s="75">
        <f>G288</f>
        <v>2.1631999999999998E-2</v>
      </c>
      <c r="H294" s="68" t="s">
        <v>474</v>
      </c>
    </row>
    <row r="295" spans="5:8" ht="13.95" customHeight="1" x14ac:dyDescent="0.3">
      <c r="F295" s="68" t="s">
        <v>917</v>
      </c>
      <c r="G295" s="75">
        <f>G290</f>
        <v>1.1591</v>
      </c>
      <c r="H295" s="68" t="s">
        <v>475</v>
      </c>
    </row>
    <row r="296" spans="5:8" ht="1.95" customHeight="1" x14ac:dyDescent="0.3">
      <c r="F296" s="46"/>
      <c r="G296" s="46"/>
      <c r="H296" s="46"/>
    </row>
    <row r="297" spans="5:8" ht="13.95" customHeight="1" x14ac:dyDescent="0.3">
      <c r="F297" s="64" t="str">
        <f xml:space="preserve"> F$184</f>
        <v>Jaarlijkse gewicht recycled papier ongeaddr. + geaddr. + lokaal reclamedrukwerk (kg)</v>
      </c>
      <c r="G297" s="67">
        <f xml:space="preserve"> G$184</f>
        <v>995185.9632</v>
      </c>
      <c r="H297" s="64" t="str">
        <f xml:space="preserve"> H$184</f>
        <v>kg / jaar</v>
      </c>
    </row>
    <row r="298" spans="5:8" ht="1.95" customHeight="1" x14ac:dyDescent="0.3">
      <c r="F298" s="46"/>
      <c r="G298" s="46"/>
      <c r="H298" s="46"/>
    </row>
    <row r="299" spans="5:8" ht="13.95" customHeight="1" x14ac:dyDescent="0.3">
      <c r="F299" s="68" t="s">
        <v>918</v>
      </c>
      <c r="G299" s="73">
        <f>G292*$G$297</f>
        <v>13391192.097021496</v>
      </c>
      <c r="H299" s="68" t="s">
        <v>480</v>
      </c>
    </row>
    <row r="300" spans="5:8" ht="13.95" customHeight="1" x14ac:dyDescent="0.3">
      <c r="F300" s="68" t="s">
        <v>919</v>
      </c>
      <c r="G300" s="73">
        <f t="shared" ref="G300:G302" si="5">G293*$G$297</f>
        <v>20051066.49771139</v>
      </c>
      <c r="H300" s="68" t="s">
        <v>480</v>
      </c>
    </row>
    <row r="301" spans="5:8" ht="13.95" customHeight="1" x14ac:dyDescent="0.3">
      <c r="F301" s="68" t="s">
        <v>920</v>
      </c>
      <c r="G301" s="73">
        <f t="shared" si="5"/>
        <v>21527.862755942399</v>
      </c>
      <c r="H301" s="68" t="s">
        <v>481</v>
      </c>
    </row>
    <row r="302" spans="5:8" ht="13.95" customHeight="1" x14ac:dyDescent="0.3">
      <c r="F302" s="68" t="s">
        <v>921</v>
      </c>
      <c r="G302" s="73">
        <f t="shared" si="5"/>
        <v>1153520.04994512</v>
      </c>
      <c r="H302" s="68" t="s">
        <v>482</v>
      </c>
    </row>
    <row r="303" spans="5:8" ht="13.95" customHeight="1" x14ac:dyDescent="0.3">
      <c r="F303" s="46"/>
      <c r="G303" s="46"/>
      <c r="H303" s="46"/>
    </row>
    <row r="304" spans="5:8" ht="13.95" customHeight="1" x14ac:dyDescent="0.3">
      <c r="E304" s="53" t="s">
        <v>1101</v>
      </c>
      <c r="F304" s="46"/>
      <c r="G304" s="46"/>
      <c r="H304" s="46"/>
    </row>
    <row r="305" spans="5:8" ht="13.95" customHeight="1" x14ac:dyDescent="0.3">
      <c r="F305" s="64" t="str">
        <f xml:space="preserve"> F$272</f>
        <v>Impact virgin bedrukt papier, ongeaddr. + geaddr. per jaar, hernieuwbare energie</v>
      </c>
      <c r="G305" s="67">
        <f xml:space="preserve"> G$272</f>
        <v>0</v>
      </c>
      <c r="H305" s="64" t="str">
        <f xml:space="preserve"> H$272</f>
        <v>MJ / jaar</v>
      </c>
    </row>
    <row r="306" spans="5:8" ht="13.95" customHeight="1" x14ac:dyDescent="0.3">
      <c r="F306" s="64" t="str">
        <f xml:space="preserve"> F$273</f>
        <v>Impact virgin bedrukt papier, ongeaddr. + geaddr. per jaar, niet-hernieuwbare energie</v>
      </c>
      <c r="G306" s="67">
        <f xml:space="preserve"> G$273</f>
        <v>0</v>
      </c>
      <c r="H306" s="64" t="str">
        <f xml:space="preserve"> H$273</f>
        <v>MJ / jaar</v>
      </c>
    </row>
    <row r="307" spans="5:8" ht="13.95" customHeight="1" x14ac:dyDescent="0.3">
      <c r="F307" s="64" t="str">
        <f xml:space="preserve"> F$274</f>
        <v>Impact virgin bedrukt papier, ongeaddr. + geaddr. per jaar, water</v>
      </c>
      <c r="G307" s="67">
        <f xml:space="preserve"> G$274</f>
        <v>0</v>
      </c>
      <c r="H307" s="64" t="str">
        <f xml:space="preserve"> H$274</f>
        <v>M3 / jaar</v>
      </c>
    </row>
    <row r="308" spans="5:8" ht="13.95" customHeight="1" x14ac:dyDescent="0.3">
      <c r="F308" s="64" t="str">
        <f xml:space="preserve"> F$275</f>
        <v>Impact virgin bedrukt papier, ongeaddr. + geaddr. per jaar, GWP100</v>
      </c>
      <c r="G308" s="67">
        <f xml:space="preserve"> G$275</f>
        <v>0</v>
      </c>
      <c r="H308" s="64" t="str">
        <f xml:space="preserve"> H$275</f>
        <v>kg CO2-eq / jaar</v>
      </c>
    </row>
    <row r="309" spans="5:8" ht="1.95" customHeight="1" x14ac:dyDescent="0.3">
      <c r="F309" s="46"/>
      <c r="G309" s="46"/>
      <c r="H309" s="46"/>
    </row>
    <row r="310" spans="5:8" ht="13.95" customHeight="1" x14ac:dyDescent="0.3">
      <c r="F310" s="64" t="str">
        <f xml:space="preserve"> F$299</f>
        <v>Impact Gerecycled bedrukt papier, ongeaddr. + geaddr. per jaar, hernieuwbare energie</v>
      </c>
      <c r="G310" s="67">
        <f xml:space="preserve"> G$299</f>
        <v>13391192.097021496</v>
      </c>
      <c r="H310" s="64" t="str">
        <f xml:space="preserve"> H$299</f>
        <v>MJ / jaar</v>
      </c>
    </row>
    <row r="311" spans="5:8" ht="13.95" customHeight="1" x14ac:dyDescent="0.3">
      <c r="F311" s="64" t="str">
        <f xml:space="preserve"> F$300</f>
        <v>Impact Gerecycled bedrukt papier, ongeaddr. + geaddr. per jaar, niet-hernieuwbare energie</v>
      </c>
      <c r="G311" s="67">
        <f xml:space="preserve"> G$300</f>
        <v>20051066.49771139</v>
      </c>
      <c r="H311" s="64" t="str">
        <f xml:space="preserve"> H$300</f>
        <v>MJ / jaar</v>
      </c>
    </row>
    <row r="312" spans="5:8" ht="13.95" customHeight="1" x14ac:dyDescent="0.3">
      <c r="F312" s="64" t="str">
        <f xml:space="preserve"> F$301</f>
        <v>Impact Gerecycled bedrukt papier, ongeaddr. + geaddr. per jaar, water</v>
      </c>
      <c r="G312" s="67">
        <f xml:space="preserve"> G$301</f>
        <v>21527.862755942399</v>
      </c>
      <c r="H312" s="64" t="str">
        <f xml:space="preserve"> H$301</f>
        <v>M3 / jaar</v>
      </c>
    </row>
    <row r="313" spans="5:8" ht="13.95" customHeight="1" x14ac:dyDescent="0.3">
      <c r="F313" s="64" t="str">
        <f xml:space="preserve"> F$302</f>
        <v>Impact Gerecycled bedrukt papier, ongeaddr. + geaddr. per jaar, GWP100</v>
      </c>
      <c r="G313" s="67">
        <f xml:space="preserve"> G$302</f>
        <v>1153520.04994512</v>
      </c>
      <c r="H313" s="64" t="str">
        <f xml:space="preserve"> H$302</f>
        <v>kg CO2-eq / jaar</v>
      </c>
    </row>
    <row r="314" spans="5:8" ht="1.95" customHeight="1" x14ac:dyDescent="0.3">
      <c r="F314" s="46"/>
      <c r="G314" s="46"/>
      <c r="H314" s="46"/>
    </row>
    <row r="315" spans="5:8" ht="13.95" customHeight="1" x14ac:dyDescent="0.3">
      <c r="F315" s="81" t="s">
        <v>1102</v>
      </c>
      <c r="G315" s="89">
        <f>G305+G310</f>
        <v>13391192.097021496</v>
      </c>
      <c r="H315" s="64" t="str">
        <f xml:space="preserve"> H$299</f>
        <v>MJ / jaar</v>
      </c>
    </row>
    <row r="316" spans="5:8" ht="13.95" customHeight="1" x14ac:dyDescent="0.3">
      <c r="F316" s="81" t="s">
        <v>1103</v>
      </c>
      <c r="G316" s="89">
        <f t="shared" ref="G316:G318" si="6">G306+G311</f>
        <v>20051066.49771139</v>
      </c>
      <c r="H316" s="64" t="str">
        <f xml:space="preserve"> H$300</f>
        <v>MJ / jaar</v>
      </c>
    </row>
    <row r="317" spans="5:8" ht="13.95" customHeight="1" x14ac:dyDescent="0.3">
      <c r="F317" s="81" t="s">
        <v>1104</v>
      </c>
      <c r="G317" s="89">
        <f t="shared" si="6"/>
        <v>21527.862755942399</v>
      </c>
      <c r="H317" s="64" t="str">
        <f xml:space="preserve"> H$301</f>
        <v>M3 / jaar</v>
      </c>
    </row>
    <row r="318" spans="5:8" ht="13.95" customHeight="1" x14ac:dyDescent="0.3">
      <c r="F318" s="81" t="s">
        <v>1105</v>
      </c>
      <c r="G318" s="89">
        <f t="shared" si="6"/>
        <v>1153520.04994512</v>
      </c>
      <c r="H318" s="64" t="str">
        <f xml:space="preserve"> H$302</f>
        <v>kg CO2-eq / jaar</v>
      </c>
    </row>
    <row r="319" spans="5:8" ht="13.95" customHeight="1" x14ac:dyDescent="0.3">
      <c r="F319" s="46"/>
      <c r="G319" s="46"/>
      <c r="H319" s="46"/>
    </row>
    <row r="320" spans="5:8" ht="13.95" customHeight="1" x14ac:dyDescent="0.3">
      <c r="E320" s="53" t="s">
        <v>552</v>
      </c>
      <c r="F320" s="46"/>
      <c r="G320" s="46"/>
      <c r="H320" s="46"/>
    </row>
    <row r="321" spans="6:8" ht="13.95" customHeight="1" x14ac:dyDescent="0.3">
      <c r="F321" s="46" t="str">
        <f xml:space="preserve"> Inputs!E$62</f>
        <v>Virgin bedrukt papier, hernieuwbare energie, biomassa</v>
      </c>
      <c r="G321" s="79">
        <f xml:space="preserve"> Inputs!F$62</f>
        <v>27.245000000000001</v>
      </c>
      <c r="H321" s="46" t="str">
        <f xml:space="preserve"> Inputs!G$62</f>
        <v>MJ-eq / kg</v>
      </c>
    </row>
    <row r="322" spans="6:8" ht="13.95" customHeight="1" x14ac:dyDescent="0.3">
      <c r="F322" s="46" t="str">
        <f xml:space="preserve"> Inputs!E$63</f>
        <v>Virgin bedrukt papier, hernieuwbare energie, geothermie</v>
      </c>
      <c r="G322" s="79">
        <f xml:space="preserve"> Inputs!F$63</f>
        <v>7.4050000000000005E-2</v>
      </c>
      <c r="H322" s="46" t="str">
        <f xml:space="preserve"> Inputs!G$63</f>
        <v>MJ-eq / kg</v>
      </c>
    </row>
    <row r="323" spans="6:8" ht="13.95" customHeight="1" x14ac:dyDescent="0.3">
      <c r="F323" s="46" t="str">
        <f xml:space="preserve"> Inputs!E$64</f>
        <v>Virgin bedrukt papier, hernieuwbare energie, zon</v>
      </c>
      <c r="G323" s="79">
        <f xml:space="preserve"> Inputs!F$64</f>
        <v>4.6504000000000001E-4</v>
      </c>
      <c r="H323" s="46" t="str">
        <f xml:space="preserve"> Inputs!G$64</f>
        <v>MJ-eq / kg</v>
      </c>
    </row>
    <row r="324" spans="6:8" ht="13.95" customHeight="1" x14ac:dyDescent="0.3">
      <c r="F324" s="46" t="str">
        <f xml:space="preserve"> Inputs!E$65</f>
        <v>Virgin bedrukt papier, hernieuwbare energie, water</v>
      </c>
      <c r="G324" s="79">
        <f xml:space="preserve"> Inputs!F$65</f>
        <v>2.1696</v>
      </c>
      <c r="H324" s="46" t="str">
        <f xml:space="preserve"> Inputs!G$65</f>
        <v>MJ-eq / kg</v>
      </c>
    </row>
    <row r="325" spans="6:8" ht="13.95" customHeight="1" x14ac:dyDescent="0.3">
      <c r="F325" s="46" t="str">
        <f xml:space="preserve"> Inputs!E$66</f>
        <v>Virgin bedrukt papier, hernieuwbare energie, wind</v>
      </c>
      <c r="G325" s="79">
        <f xml:space="preserve"> Inputs!F$66</f>
        <v>1.0834999999999999</v>
      </c>
      <c r="H325" s="46" t="str">
        <f xml:space="preserve"> Inputs!G$66</f>
        <v>MJ-eq / kg</v>
      </c>
    </row>
    <row r="326" spans="6:8" ht="1.95" customHeight="1" x14ac:dyDescent="0.3">
      <c r="F326" s="46"/>
      <c r="G326" s="79"/>
      <c r="H326" s="46"/>
    </row>
    <row r="327" spans="6:8" ht="13.95" customHeight="1" x14ac:dyDescent="0.3">
      <c r="F327" s="46" t="str">
        <f xml:space="preserve"> Inputs!E$68</f>
        <v>Virgin bedrukt papier, niet-hernieuwbare energie, fossiel</v>
      </c>
      <c r="G327" s="79">
        <f xml:space="preserve"> Inputs!F$68</f>
        <v>17.510999999999999</v>
      </c>
      <c r="H327" s="46" t="str">
        <f xml:space="preserve"> Inputs!G$68</f>
        <v>MJ-eq / kg</v>
      </c>
    </row>
    <row r="328" spans="6:8" ht="13.95" customHeight="1" x14ac:dyDescent="0.3">
      <c r="F328" s="46" t="str">
        <f xml:space="preserve"> Inputs!E$69</f>
        <v>Virgin bedrukt papier, niet-hernieuwbare energie, nucleair</v>
      </c>
      <c r="G328" s="79">
        <f xml:space="preserve"> Inputs!F$69</f>
        <v>11.567</v>
      </c>
      <c r="H328" s="46" t="str">
        <f xml:space="preserve"> Inputs!G$69</f>
        <v>MJ-eq / kg</v>
      </c>
    </row>
    <row r="329" spans="6:8" ht="13.95" customHeight="1" x14ac:dyDescent="0.3">
      <c r="F329" s="46" t="str">
        <f xml:space="preserve"> Inputs!E$70</f>
        <v>Virgin bedrukt papier, niet-hernieuwbare energie, oerbos</v>
      </c>
      <c r="G329" s="79">
        <f xml:space="preserve"> Inputs!F$70</f>
        <v>3.0032000000000001E-3</v>
      </c>
      <c r="H329" s="46" t="str">
        <f xml:space="preserve"> Inputs!G$70</f>
        <v>MJ-eq / kg</v>
      </c>
    </row>
    <row r="330" spans="6:8" ht="1.95" customHeight="1" x14ac:dyDescent="0.3">
      <c r="F330" s="46"/>
      <c r="G330" s="79"/>
      <c r="H330" s="46"/>
    </row>
    <row r="331" spans="6:8" ht="13.95" customHeight="1" x14ac:dyDescent="0.3">
      <c r="F331" s="46" t="str">
        <f xml:space="preserve"> Inputs!E$72</f>
        <v>Virgin bedrukt papier, water</v>
      </c>
      <c r="G331" s="79">
        <f xml:space="preserve"> Inputs!F$72</f>
        <v>2.6164E-2</v>
      </c>
      <c r="H331" s="46" t="str">
        <f xml:space="preserve"> Inputs!G$72</f>
        <v>m3 / kg</v>
      </c>
    </row>
    <row r="332" spans="6:8" ht="1.95" customHeight="1" x14ac:dyDescent="0.3">
      <c r="F332" s="46"/>
      <c r="G332" s="79"/>
      <c r="H332" s="46"/>
    </row>
    <row r="333" spans="6:8" ht="13.95" customHeight="1" x14ac:dyDescent="0.3">
      <c r="F333" s="46" t="str">
        <f xml:space="preserve"> Inputs!E$74</f>
        <v>Virgin bedrukt papier, GWP100</v>
      </c>
      <c r="G333" s="79">
        <f xml:space="preserve"> Inputs!F$74</f>
        <v>1.3794999999999999</v>
      </c>
      <c r="H333" s="46" t="str">
        <f xml:space="preserve"> Inputs!G$74</f>
        <v>kg CO2-eq / kg</v>
      </c>
    </row>
    <row r="334" spans="6:8" ht="13.95" customHeight="1" x14ac:dyDescent="0.3">
      <c r="F334" s="46"/>
      <c r="G334" s="46"/>
      <c r="H334" s="46"/>
    </row>
    <row r="335" spans="6:8" ht="13.95" customHeight="1" x14ac:dyDescent="0.3">
      <c r="F335" s="68" t="s">
        <v>555</v>
      </c>
      <c r="G335" s="75">
        <f>SUM(G321:G325)</f>
        <v>30.572615040000002</v>
      </c>
      <c r="H335" s="68" t="s">
        <v>473</v>
      </c>
    </row>
    <row r="336" spans="6:8" ht="13.95" customHeight="1" x14ac:dyDescent="0.3">
      <c r="F336" s="68" t="s">
        <v>556</v>
      </c>
      <c r="G336" s="75">
        <f>SUM(G327:G329)</f>
        <v>29.081003199999998</v>
      </c>
      <c r="H336" s="68" t="s">
        <v>473</v>
      </c>
    </row>
    <row r="337" spans="5:8" ht="13.95" customHeight="1" x14ac:dyDescent="0.3">
      <c r="F337" s="68" t="s">
        <v>557</v>
      </c>
      <c r="G337" s="75">
        <f>G331</f>
        <v>2.6164E-2</v>
      </c>
      <c r="H337" s="68" t="s">
        <v>474</v>
      </c>
    </row>
    <row r="338" spans="5:8" ht="13.95" customHeight="1" x14ac:dyDescent="0.3">
      <c r="F338" s="68" t="s">
        <v>558</v>
      </c>
      <c r="G338" s="75">
        <f>G333</f>
        <v>1.3794999999999999</v>
      </c>
      <c r="H338" s="68" t="s">
        <v>475</v>
      </c>
    </row>
    <row r="339" spans="5:8" ht="1.95" customHeight="1" x14ac:dyDescent="0.3">
      <c r="F339" s="46"/>
      <c r="G339" s="46"/>
      <c r="H339" s="46"/>
    </row>
    <row r="340" spans="5:8" ht="13.95" customHeight="1" x14ac:dyDescent="0.3">
      <c r="F340" s="64" t="str">
        <f xml:space="preserve"> F$206</f>
        <v>Jaarlijkse gewicht virgin papier, huis-aan-huis (kg)</v>
      </c>
      <c r="G340" s="67">
        <f xml:space="preserve"> G$206</f>
        <v>0</v>
      </c>
      <c r="H340" s="64" t="str">
        <f xml:space="preserve"> H$206</f>
        <v>kg / jaar</v>
      </c>
    </row>
    <row r="341" spans="5:8" ht="1.95" customHeight="1" x14ac:dyDescent="0.3">
      <c r="F341" s="46"/>
      <c r="G341" s="46"/>
      <c r="H341" s="46"/>
    </row>
    <row r="342" spans="5:8" ht="13.95" customHeight="1" x14ac:dyDescent="0.3">
      <c r="F342" s="68" t="s">
        <v>559</v>
      </c>
      <c r="G342" s="73">
        <f>G335*$G$340</f>
        <v>0</v>
      </c>
      <c r="H342" s="68" t="s">
        <v>480</v>
      </c>
    </row>
    <row r="343" spans="5:8" ht="13.95" customHeight="1" x14ac:dyDescent="0.3">
      <c r="F343" s="68" t="s">
        <v>560</v>
      </c>
      <c r="G343" s="73">
        <f t="shared" ref="G343:G345" si="7">G336*$G$340</f>
        <v>0</v>
      </c>
      <c r="H343" s="68" t="s">
        <v>480</v>
      </c>
    </row>
    <row r="344" spans="5:8" ht="13.95" customHeight="1" x14ac:dyDescent="0.3">
      <c r="F344" s="68" t="s">
        <v>561</v>
      </c>
      <c r="G344" s="73">
        <f t="shared" si="7"/>
        <v>0</v>
      </c>
      <c r="H344" s="68" t="s">
        <v>481</v>
      </c>
    </row>
    <row r="345" spans="5:8" ht="13.95" customHeight="1" x14ac:dyDescent="0.3">
      <c r="F345" s="68" t="s">
        <v>562</v>
      </c>
      <c r="G345" s="73">
        <f t="shared" si="7"/>
        <v>0</v>
      </c>
      <c r="H345" s="68" t="s">
        <v>482</v>
      </c>
    </row>
    <row r="346" spans="5:8" ht="13.95" customHeight="1" x14ac:dyDescent="0.3">
      <c r="F346" s="46"/>
      <c r="G346" s="46"/>
      <c r="H346" s="46"/>
    </row>
    <row r="347" spans="5:8" ht="13.95" customHeight="1" x14ac:dyDescent="0.3">
      <c r="E347" s="53" t="s">
        <v>554</v>
      </c>
      <c r="F347" s="46"/>
      <c r="G347" s="46"/>
      <c r="H347" s="46"/>
    </row>
    <row r="348" spans="5:8" ht="13.95" customHeight="1" x14ac:dyDescent="0.3">
      <c r="F348" s="46" t="str">
        <f xml:space="preserve"> Inputs!E$47</f>
        <v>Recycled bedrukt papier per kg output (gerecycled papier), hernieuwbare energie, biomassa</v>
      </c>
      <c r="G348" s="46">
        <f xml:space="preserve"> Inputs!F$47</f>
        <v>11.555</v>
      </c>
      <c r="H348" s="46" t="str">
        <f xml:space="preserve"> Inputs!G$47</f>
        <v>MJ-eq / kg</v>
      </c>
    </row>
    <row r="349" spans="5:8" ht="13.95" customHeight="1" x14ac:dyDescent="0.3">
      <c r="F349" s="46" t="str">
        <f xml:space="preserve"> Inputs!E$48</f>
        <v>Recycled bedrukt papier per kg output (gerecycled papier), hernieuwbare energie, geothermie</v>
      </c>
      <c r="G349" s="46">
        <f xml:space="preserve"> Inputs!F$48</f>
        <v>4.3588000000000002E-2</v>
      </c>
      <c r="H349" s="46" t="str">
        <f xml:space="preserve"> Inputs!G$48</f>
        <v>MJ-eq / kg</v>
      </c>
    </row>
    <row r="350" spans="5:8" ht="13.95" customHeight="1" x14ac:dyDescent="0.3">
      <c r="F350" s="46" t="str">
        <f xml:space="preserve"> Inputs!E$49</f>
        <v>Recycled bedrukt papier per kg output (gerecycled papier), hernieuwbare energie, zon</v>
      </c>
      <c r="G350" s="46">
        <f xml:space="preserve"> Inputs!F$49</f>
        <v>2.9163000000000003E-4</v>
      </c>
      <c r="H350" s="46" t="str">
        <f xml:space="preserve"> Inputs!G$49</f>
        <v>MJ-eq / kg</v>
      </c>
    </row>
    <row r="351" spans="5:8" ht="13.95" customHeight="1" x14ac:dyDescent="0.3">
      <c r="F351" s="46" t="str">
        <f xml:space="preserve"> Inputs!E$50</f>
        <v>Recycled bedrukt papier per kg output (gerecycled papier), hernieuwbare energie, water</v>
      </c>
      <c r="G351" s="46">
        <f xml:space="preserve"> Inputs!F$50</f>
        <v>1.2242999999999999</v>
      </c>
      <c r="H351" s="46" t="str">
        <f xml:space="preserve"> Inputs!G$50</f>
        <v>MJ-eq / kg</v>
      </c>
    </row>
    <row r="352" spans="5:8" ht="13.95" customHeight="1" x14ac:dyDescent="0.3">
      <c r="F352" s="46" t="str">
        <f xml:space="preserve"> Inputs!E$51</f>
        <v>Recycled bedrukt papier per kg output (gerecycled papier), hernieuwbare energie, wind</v>
      </c>
      <c r="G352" s="46">
        <f xml:space="preserve"> Inputs!F$51</f>
        <v>0.63278999999999996</v>
      </c>
      <c r="H352" s="46" t="str">
        <f xml:space="preserve"> Inputs!G$51</f>
        <v>MJ-eq / kg</v>
      </c>
    </row>
    <row r="353" spans="6:8" ht="1.95" customHeight="1" x14ac:dyDescent="0.3">
      <c r="F353" s="46">
        <f xml:space="preserve"> Inputs!E$52</f>
        <v>0</v>
      </c>
      <c r="G353" s="46">
        <f xml:space="preserve"> Inputs!F$52</f>
        <v>0</v>
      </c>
      <c r="H353" s="46">
        <f xml:space="preserve"> Inputs!G$52</f>
        <v>0</v>
      </c>
    </row>
    <row r="354" spans="6:8" ht="13.95" customHeight="1" x14ac:dyDescent="0.3">
      <c r="F354" s="46" t="str">
        <f xml:space="preserve"> Inputs!E$53</f>
        <v>Recycled bedrukt papier per kg output (gerecycled papier), niet-hernieuwbare energie, fossiel</v>
      </c>
      <c r="G354" s="46">
        <f xml:space="preserve"> Inputs!F$53</f>
        <v>13.451000000000001</v>
      </c>
      <c r="H354" s="46" t="str">
        <f xml:space="preserve"> Inputs!G$53</f>
        <v>MJ-eq / kg</v>
      </c>
    </row>
    <row r="355" spans="6:8" ht="13.95" customHeight="1" x14ac:dyDescent="0.3">
      <c r="F355" s="46" t="str">
        <f xml:space="preserve"> Inputs!E$54</f>
        <v>Recycled bedrukt papier per kg output (gerecycled papier), niet-hernieuwbare energie, nucleair</v>
      </c>
      <c r="G355" s="46">
        <f xml:space="preserve"> Inputs!F$54</f>
        <v>6.6791</v>
      </c>
      <c r="H355" s="46" t="str">
        <f xml:space="preserve"> Inputs!G$54</f>
        <v>MJ-eq / kg</v>
      </c>
    </row>
    <row r="356" spans="6:8" ht="13.95" customHeight="1" x14ac:dyDescent="0.3">
      <c r="F356" s="46" t="str">
        <f xml:space="preserve"> Inputs!E$55</f>
        <v>Recycled bedrukt papier per kg output (gerecycled papier), niet-hernieuwbare energie, oerbos</v>
      </c>
      <c r="G356" s="46">
        <f xml:space="preserve"> Inputs!F$55</f>
        <v>1.796E-2</v>
      </c>
      <c r="H356" s="46" t="str">
        <f xml:space="preserve"> Inputs!G$55</f>
        <v>MJ-eq / kg</v>
      </c>
    </row>
    <row r="357" spans="6:8" ht="1.95" customHeight="1" x14ac:dyDescent="0.3">
      <c r="F357" s="46">
        <f xml:space="preserve"> Inputs!E$56</f>
        <v>0</v>
      </c>
      <c r="G357" s="46">
        <f xml:space="preserve"> Inputs!F$56</f>
        <v>0</v>
      </c>
      <c r="H357" s="46">
        <f xml:space="preserve"> Inputs!G$56</f>
        <v>0</v>
      </c>
    </row>
    <row r="358" spans="6:8" ht="13.95" customHeight="1" x14ac:dyDescent="0.3">
      <c r="F358" s="46" t="str">
        <f xml:space="preserve"> Inputs!E$57</f>
        <v>Recycled bedrukt papier per kg output (gerecycled papier), water</v>
      </c>
      <c r="G358" s="46">
        <f xml:space="preserve"> Inputs!F$57</f>
        <v>2.1631999999999998E-2</v>
      </c>
      <c r="H358" s="46" t="str">
        <f xml:space="preserve"> Inputs!G$57</f>
        <v>m3 / kg</v>
      </c>
    </row>
    <row r="359" spans="6:8" ht="1.95" customHeight="1" x14ac:dyDescent="0.3">
      <c r="F359" s="46">
        <f xml:space="preserve"> Inputs!E$58</f>
        <v>0</v>
      </c>
      <c r="G359" s="46">
        <f xml:space="preserve"> Inputs!F$58</f>
        <v>0</v>
      </c>
      <c r="H359" s="46">
        <f xml:space="preserve"> Inputs!G$58</f>
        <v>0</v>
      </c>
    </row>
    <row r="360" spans="6:8" ht="13.95" customHeight="1" x14ac:dyDescent="0.3">
      <c r="F360" s="46" t="str">
        <f xml:space="preserve"> Inputs!E$59</f>
        <v>Recycled bedrukt papier per kg output (gerecycled papier), GWP100</v>
      </c>
      <c r="G360" s="46">
        <f xml:space="preserve"> Inputs!F$59</f>
        <v>1.1591</v>
      </c>
      <c r="H360" s="46" t="str">
        <f xml:space="preserve"> Inputs!G$59</f>
        <v>kg CO2-eq / kg</v>
      </c>
    </row>
    <row r="361" spans="6:8" ht="13.95" customHeight="1" x14ac:dyDescent="0.3">
      <c r="F361" s="46"/>
      <c r="G361" s="46"/>
      <c r="H361" s="46"/>
    </row>
    <row r="362" spans="6:8" ht="13.95" customHeight="1" x14ac:dyDescent="0.3">
      <c r="F362" s="68" t="s">
        <v>563</v>
      </c>
      <c r="G362" s="129">
        <f>SUM(G348:G352)</f>
        <v>13.455969629999998</v>
      </c>
      <c r="H362" s="68" t="s">
        <v>473</v>
      </c>
    </row>
    <row r="363" spans="6:8" ht="13.95" customHeight="1" x14ac:dyDescent="0.3">
      <c r="F363" s="68" t="s">
        <v>564</v>
      </c>
      <c r="G363" s="129">
        <f>SUM(G354:G356)</f>
        <v>20.148059999999997</v>
      </c>
      <c r="H363" s="68" t="s">
        <v>473</v>
      </c>
    </row>
    <row r="364" spans="6:8" ht="13.95" customHeight="1" x14ac:dyDescent="0.3">
      <c r="F364" s="68" t="s">
        <v>565</v>
      </c>
      <c r="G364" s="129">
        <f>G358</f>
        <v>2.1631999999999998E-2</v>
      </c>
      <c r="H364" s="68" t="s">
        <v>474</v>
      </c>
    </row>
    <row r="365" spans="6:8" ht="13.95" customHeight="1" x14ac:dyDescent="0.3">
      <c r="F365" s="68" t="s">
        <v>566</v>
      </c>
      <c r="G365" s="129">
        <f>G360</f>
        <v>1.1591</v>
      </c>
      <c r="H365" s="68" t="s">
        <v>475</v>
      </c>
    </row>
    <row r="366" spans="6:8" ht="1.95" customHeight="1" x14ac:dyDescent="0.3">
      <c r="F366" s="46"/>
      <c r="G366" s="130"/>
      <c r="H366" s="46"/>
    </row>
    <row r="367" spans="6:8" ht="13.95" customHeight="1" x14ac:dyDescent="0.3">
      <c r="F367" s="64" t="str">
        <f xml:space="preserve"> F$207</f>
        <v>Jaarlijkse gewicht recycled papier, huis-aan-huis (kg)</v>
      </c>
      <c r="G367" s="127">
        <f xml:space="preserve"> G$207</f>
        <v>172380</v>
      </c>
      <c r="H367" s="64" t="str">
        <f xml:space="preserve"> H$207</f>
        <v>kg / jaar</v>
      </c>
    </row>
    <row r="368" spans="6:8" ht="1.95" customHeight="1" x14ac:dyDescent="0.3">
      <c r="F368" s="46"/>
      <c r="G368" s="130"/>
      <c r="H368" s="46"/>
    </row>
    <row r="369" spans="5:8" ht="13.95" customHeight="1" x14ac:dyDescent="0.3">
      <c r="F369" s="68" t="s">
        <v>567</v>
      </c>
      <c r="G369" s="129">
        <f>G362*$G$367</f>
        <v>2319540.0448193997</v>
      </c>
      <c r="H369" s="68" t="s">
        <v>480</v>
      </c>
    </row>
    <row r="370" spans="5:8" ht="13.95" customHeight="1" x14ac:dyDescent="0.3">
      <c r="F370" s="68" t="s">
        <v>568</v>
      </c>
      <c r="G370" s="129">
        <f t="shared" ref="G370:G372" si="8">G363*$G$367</f>
        <v>3473122.5827999995</v>
      </c>
      <c r="H370" s="68" t="s">
        <v>480</v>
      </c>
    </row>
    <row r="371" spans="5:8" ht="13.95" customHeight="1" x14ac:dyDescent="0.3">
      <c r="F371" s="68" t="s">
        <v>569</v>
      </c>
      <c r="G371" s="129">
        <f t="shared" si="8"/>
        <v>3728.9241599999996</v>
      </c>
      <c r="H371" s="68" t="s">
        <v>481</v>
      </c>
    </row>
    <row r="372" spans="5:8" ht="13.95" customHeight="1" x14ac:dyDescent="0.3">
      <c r="F372" s="68" t="s">
        <v>570</v>
      </c>
      <c r="G372" s="129">
        <f t="shared" si="8"/>
        <v>199805.658</v>
      </c>
      <c r="H372" s="68" t="s">
        <v>482</v>
      </c>
    </row>
    <row r="373" spans="5:8" ht="13.95" customHeight="1" x14ac:dyDescent="0.3">
      <c r="F373" s="46"/>
      <c r="G373" s="46"/>
      <c r="H373" s="46"/>
    </row>
    <row r="374" spans="5:8" ht="13.95" customHeight="1" x14ac:dyDescent="0.3">
      <c r="E374" s="53" t="s">
        <v>572</v>
      </c>
      <c r="F374" s="46"/>
      <c r="G374" s="46"/>
      <c r="H374" s="46"/>
    </row>
    <row r="375" spans="5:8" ht="13.95" customHeight="1" x14ac:dyDescent="0.3">
      <c r="F375" s="64" t="str">
        <f xml:space="preserve"> F$342</f>
        <v>Impact Virgin krantenpapier, HAH. per jaar, hernieuwbare energie</v>
      </c>
      <c r="G375" s="67">
        <f xml:space="preserve"> G$342</f>
        <v>0</v>
      </c>
      <c r="H375" s="64" t="str">
        <f xml:space="preserve"> H$342</f>
        <v>MJ / jaar</v>
      </c>
    </row>
    <row r="376" spans="5:8" ht="13.95" customHeight="1" x14ac:dyDescent="0.3">
      <c r="F376" s="64" t="str">
        <f xml:space="preserve"> F$343</f>
        <v>Impact Virgin krantenpapier, HAH. per jaar, niet-hernieuwbare energie</v>
      </c>
      <c r="G376" s="67">
        <f xml:space="preserve"> G$343</f>
        <v>0</v>
      </c>
      <c r="H376" s="64" t="str">
        <f xml:space="preserve"> H$343</f>
        <v>MJ / jaar</v>
      </c>
    </row>
    <row r="377" spans="5:8" ht="13.95" customHeight="1" x14ac:dyDescent="0.3">
      <c r="F377" s="64" t="str">
        <f xml:space="preserve"> F$344</f>
        <v>Impact Virgin krantenpapier, HAH. per jaar, water</v>
      </c>
      <c r="G377" s="67">
        <f xml:space="preserve"> G$344</f>
        <v>0</v>
      </c>
      <c r="H377" s="64" t="str">
        <f xml:space="preserve"> H$344</f>
        <v>M3 / jaar</v>
      </c>
    </row>
    <row r="378" spans="5:8" ht="13.95" customHeight="1" x14ac:dyDescent="0.3">
      <c r="F378" s="64" t="str">
        <f xml:space="preserve"> F$345</f>
        <v>Impact Virgin krantenpapier, HAH. per jaar, GWP100</v>
      </c>
      <c r="G378" s="67">
        <f xml:space="preserve"> G$345</f>
        <v>0</v>
      </c>
      <c r="H378" s="64" t="str">
        <f xml:space="preserve"> H$345</f>
        <v>kg CO2-eq / jaar</v>
      </c>
    </row>
    <row r="379" spans="5:8" ht="1.95" customHeight="1" x14ac:dyDescent="0.3">
      <c r="F379" s="46"/>
      <c r="G379" s="46"/>
      <c r="H379" s="46"/>
    </row>
    <row r="380" spans="5:8" ht="13.95" customHeight="1" x14ac:dyDescent="0.3">
      <c r="F380" s="64" t="str">
        <f xml:space="preserve"> F$369</f>
        <v>Impact Gerecycled krantenpapier, HAH. per jaar, hernieuwbare energie</v>
      </c>
      <c r="G380" s="67">
        <f xml:space="preserve"> G$369</f>
        <v>2319540.0448193997</v>
      </c>
      <c r="H380" s="64" t="str">
        <f xml:space="preserve"> H$369</f>
        <v>MJ / jaar</v>
      </c>
    </row>
    <row r="381" spans="5:8" ht="13.95" customHeight="1" x14ac:dyDescent="0.3">
      <c r="F381" s="64" t="str">
        <f xml:space="preserve"> F$370</f>
        <v>Impact Gerecycled krantenpapier, HAH. per jaar, niet-hernieuwbare energie</v>
      </c>
      <c r="G381" s="67">
        <f xml:space="preserve"> G$370</f>
        <v>3473122.5827999995</v>
      </c>
      <c r="H381" s="64" t="str">
        <f xml:space="preserve"> H$370</f>
        <v>MJ / jaar</v>
      </c>
    </row>
    <row r="382" spans="5:8" ht="13.95" customHeight="1" x14ac:dyDescent="0.3">
      <c r="F382" s="64" t="str">
        <f xml:space="preserve"> F$371</f>
        <v>Impact Gerecycled krantenpapier, HAH. per jaar, water</v>
      </c>
      <c r="G382" s="67">
        <f xml:space="preserve"> G$371</f>
        <v>3728.9241599999996</v>
      </c>
      <c r="H382" s="64" t="str">
        <f xml:space="preserve"> H$371</f>
        <v>M3 / jaar</v>
      </c>
    </row>
    <row r="383" spans="5:8" ht="13.95" customHeight="1" x14ac:dyDescent="0.3">
      <c r="F383" s="64" t="str">
        <f xml:space="preserve"> F$372</f>
        <v>Impact Gerecycled krantenpapier, HAH. per jaar, GWP100</v>
      </c>
      <c r="G383" s="67">
        <f xml:space="preserve"> G$372</f>
        <v>199805.658</v>
      </c>
      <c r="H383" s="64" t="str">
        <f xml:space="preserve"> H$372</f>
        <v>kg CO2-eq / jaar</v>
      </c>
    </row>
    <row r="384" spans="5:8" ht="1.95" customHeight="1" x14ac:dyDescent="0.3">
      <c r="F384" s="46"/>
      <c r="G384" s="46"/>
      <c r="H384" s="46"/>
    </row>
    <row r="385" spans="4:8" ht="13.95" customHeight="1" x14ac:dyDescent="0.3">
      <c r="F385" s="80" t="s">
        <v>573</v>
      </c>
      <c r="G385" s="89">
        <f>G375+G380</f>
        <v>2319540.0448193997</v>
      </c>
      <c r="H385" s="80" t="s">
        <v>480</v>
      </c>
    </row>
    <row r="386" spans="4:8" ht="13.95" customHeight="1" x14ac:dyDescent="0.3">
      <c r="F386" s="80" t="s">
        <v>574</v>
      </c>
      <c r="G386" s="89">
        <f t="shared" ref="G386:G388" si="9">G376+G381</f>
        <v>3473122.5827999995</v>
      </c>
      <c r="H386" s="80" t="s">
        <v>480</v>
      </c>
    </row>
    <row r="387" spans="4:8" ht="13.95" customHeight="1" x14ac:dyDescent="0.3">
      <c r="F387" s="80" t="s">
        <v>575</v>
      </c>
      <c r="G387" s="89">
        <f t="shared" si="9"/>
        <v>3728.9241599999996</v>
      </c>
      <c r="H387" s="80" t="s">
        <v>481</v>
      </c>
    </row>
    <row r="388" spans="4:8" ht="13.95" customHeight="1" x14ac:dyDescent="0.3">
      <c r="F388" s="80" t="s">
        <v>576</v>
      </c>
      <c r="G388" s="89">
        <f t="shared" si="9"/>
        <v>199805.658</v>
      </c>
      <c r="H388" s="80" t="s">
        <v>482</v>
      </c>
    </row>
    <row r="389" spans="4:8" ht="13.95" customHeight="1" x14ac:dyDescent="0.3">
      <c r="F389" s="46"/>
      <c r="G389" s="46"/>
      <c r="H389" s="46"/>
    </row>
    <row r="390" spans="4:8" ht="13.95" customHeight="1" x14ac:dyDescent="0.3">
      <c r="D390" t="s">
        <v>488</v>
      </c>
      <c r="F390" s="46"/>
      <c r="G390" s="46"/>
      <c r="H390" s="46"/>
    </row>
    <row r="391" spans="4:8" ht="13.95" customHeight="1" x14ac:dyDescent="0.3">
      <c r="E391" s="53" t="s">
        <v>922</v>
      </c>
      <c r="F391" s="46"/>
      <c r="G391" s="46"/>
      <c r="H391" s="46"/>
    </row>
    <row r="392" spans="4:8" ht="13.95" customHeight="1" x14ac:dyDescent="0.3">
      <c r="F392" s="46" t="str">
        <f xml:space="preserve"> Inputs!E$92</f>
        <v>Virgin plastic folie, hernieuwbare energie, biomassa</v>
      </c>
      <c r="G392" s="74">
        <f xml:space="preserve"> Inputs!F$92</f>
        <v>1.8527</v>
      </c>
      <c r="H392" s="46" t="str">
        <f xml:space="preserve"> Inputs!G$92</f>
        <v>MJ-eq / kg</v>
      </c>
    </row>
    <row r="393" spans="4:8" ht="13.95" customHeight="1" x14ac:dyDescent="0.3">
      <c r="F393" s="46" t="str">
        <f xml:space="preserve"> Inputs!E$93</f>
        <v>Virgin plastic folie, hernieuwbare energie, geothermie</v>
      </c>
      <c r="G393" s="74">
        <f xml:space="preserve"> Inputs!F$93</f>
        <v>4.5129000000000002E-2</v>
      </c>
      <c r="H393" s="46" t="str">
        <f xml:space="preserve"> Inputs!G$93</f>
        <v>MJ-eq / kg</v>
      </c>
    </row>
    <row r="394" spans="4:8" ht="13.95" customHeight="1" x14ac:dyDescent="0.3">
      <c r="F394" s="46" t="str">
        <f xml:space="preserve"> Inputs!E$94</f>
        <v>Virgin plastic folie, hernieuwbare energie, zon</v>
      </c>
      <c r="G394" s="74">
        <f xml:space="preserve"> Inputs!F$94</f>
        <v>1.3131E-3</v>
      </c>
      <c r="H394" s="46" t="str">
        <f xml:space="preserve"> Inputs!G$94</f>
        <v>MJ-eq / kg</v>
      </c>
    </row>
    <row r="395" spans="4:8" ht="13.95" customHeight="1" x14ac:dyDescent="0.3">
      <c r="F395" s="46" t="str">
        <f xml:space="preserve"> Inputs!E$95</f>
        <v>Virgin plastic folie, hernieuwbare energie, water</v>
      </c>
      <c r="G395" s="74">
        <f xml:space="preserve"> Inputs!F$95</f>
        <v>1.3875999999999999</v>
      </c>
      <c r="H395" s="46" t="str">
        <f xml:space="preserve"> Inputs!G$95</f>
        <v>MJ-eq / kg</v>
      </c>
    </row>
    <row r="396" spans="4:8" ht="13.95" customHeight="1" x14ac:dyDescent="0.3">
      <c r="F396" s="46" t="str">
        <f xml:space="preserve"> Inputs!E$96</f>
        <v>Virgin plastic folie, hernieuwbare energie, wind</v>
      </c>
      <c r="G396" s="74">
        <f xml:space="preserve"> Inputs!F$96</f>
        <v>0.38163999999999998</v>
      </c>
      <c r="H396" s="46" t="str">
        <f xml:space="preserve"> Inputs!G$96</f>
        <v>MJ-eq / kg</v>
      </c>
    </row>
    <row r="397" spans="4:8" ht="1.95" customHeight="1" x14ac:dyDescent="0.3">
      <c r="F397" s="46"/>
      <c r="G397" s="74"/>
      <c r="H397" s="46"/>
    </row>
    <row r="398" spans="4:8" ht="13.95" customHeight="1" x14ac:dyDescent="0.3">
      <c r="F398" s="46" t="str">
        <f xml:space="preserve"> Inputs!E$98</f>
        <v>Virgin plastic folie, niet-hernieuwbare energie, fossiel</v>
      </c>
      <c r="G398" s="74">
        <f xml:space="preserve"> Inputs!F$98</f>
        <v>87.111000000000004</v>
      </c>
      <c r="H398" s="46" t="str">
        <f xml:space="preserve"> Inputs!G$98</f>
        <v>MJ-eq / kg</v>
      </c>
    </row>
    <row r="399" spans="4:8" ht="13.95" customHeight="1" x14ac:dyDescent="0.3">
      <c r="F399" s="46" t="str">
        <f xml:space="preserve"> Inputs!E$99</f>
        <v>Virgin plastic folie, niet-hernieuwbare energie, nucleair</v>
      </c>
      <c r="G399" s="74">
        <f xml:space="preserve"> Inputs!F$99</f>
        <v>5.8593999999999999</v>
      </c>
      <c r="H399" s="46" t="str">
        <f xml:space="preserve"> Inputs!G$99</f>
        <v>MJ-eq / kg</v>
      </c>
    </row>
    <row r="400" spans="4:8" ht="13.95" customHeight="1" x14ac:dyDescent="0.3">
      <c r="F400" s="46" t="str">
        <f xml:space="preserve"> Inputs!E$100</f>
        <v>Virgin plastic folie, niet-hernieuwbare energie, oerbos</v>
      </c>
      <c r="G400" s="74">
        <f xml:space="preserve"> Inputs!F$100</f>
        <v>1.4170999999999999E-3</v>
      </c>
      <c r="H400" s="46" t="str">
        <f xml:space="preserve"> Inputs!G$100</f>
        <v>MJ-eq / kg</v>
      </c>
    </row>
    <row r="401" spans="6:8" ht="1.95" customHeight="1" x14ac:dyDescent="0.3">
      <c r="F401" s="46"/>
      <c r="G401" s="74"/>
      <c r="H401" s="46"/>
    </row>
    <row r="402" spans="6:8" ht="13.95" customHeight="1" x14ac:dyDescent="0.3">
      <c r="F402" s="46" t="str">
        <f xml:space="preserve"> Inputs!E$102</f>
        <v>Virgin plastic folie, water</v>
      </c>
      <c r="G402" s="74">
        <f xml:space="preserve"> Inputs!F$102</f>
        <v>1.3081000000000001E-2</v>
      </c>
      <c r="H402" s="46" t="str">
        <f xml:space="preserve"> Inputs!G$102</f>
        <v>m3 / kg</v>
      </c>
    </row>
    <row r="403" spans="6:8" ht="1.95" customHeight="1" x14ac:dyDescent="0.3">
      <c r="F403" s="46"/>
      <c r="G403" s="74"/>
      <c r="H403" s="46"/>
    </row>
    <row r="404" spans="6:8" ht="13.95" customHeight="1" x14ac:dyDescent="0.3">
      <c r="F404" s="46" t="str">
        <f xml:space="preserve"> Inputs!E$104</f>
        <v>Virgin plastic folie, GWP100</v>
      </c>
      <c r="G404" s="74">
        <f xml:space="preserve"> Inputs!F$104</f>
        <v>3.1406999999999998</v>
      </c>
      <c r="H404" s="46" t="str">
        <f xml:space="preserve"> Inputs!G$104</f>
        <v>kg CO2-eq / kg</v>
      </c>
    </row>
    <row r="405" spans="6:8" ht="13.95" customHeight="1" x14ac:dyDescent="0.3">
      <c r="F405" s="46"/>
      <c r="G405" s="46"/>
      <c r="H405" s="46"/>
    </row>
    <row r="406" spans="6:8" ht="13.95" customHeight="1" x14ac:dyDescent="0.3">
      <c r="F406" s="68" t="s">
        <v>924</v>
      </c>
      <c r="G406" s="75">
        <f>SUM(G392:G396)</f>
        <v>3.6683820999999996</v>
      </c>
      <c r="H406" s="68" t="s">
        <v>473</v>
      </c>
    </row>
    <row r="407" spans="6:8" ht="13.95" customHeight="1" x14ac:dyDescent="0.3">
      <c r="F407" s="68" t="s">
        <v>925</v>
      </c>
      <c r="G407" s="75">
        <f>SUM(G398:G400)</f>
        <v>92.971817099999996</v>
      </c>
      <c r="H407" s="68" t="s">
        <v>473</v>
      </c>
    </row>
    <row r="408" spans="6:8" ht="13.95" customHeight="1" x14ac:dyDescent="0.3">
      <c r="F408" s="68" t="s">
        <v>926</v>
      </c>
      <c r="G408" s="75">
        <f>G402</f>
        <v>1.3081000000000001E-2</v>
      </c>
      <c r="H408" s="68" t="s">
        <v>474</v>
      </c>
    </row>
    <row r="409" spans="6:8" ht="13.95" customHeight="1" x14ac:dyDescent="0.3">
      <c r="F409" s="68" t="s">
        <v>927</v>
      </c>
      <c r="G409" s="75">
        <f>G404</f>
        <v>3.1406999999999998</v>
      </c>
      <c r="H409" s="68" t="s">
        <v>475</v>
      </c>
    </row>
    <row r="410" spans="6:8" ht="1.95" customHeight="1" x14ac:dyDescent="0.3">
      <c r="F410" s="46"/>
      <c r="G410" s="46"/>
      <c r="H410" s="46"/>
    </row>
    <row r="411" spans="6:8" ht="13.95" customHeight="1" x14ac:dyDescent="0.3">
      <c r="F411" s="64" t="str">
        <f xml:space="preserve"> F$240</f>
        <v>Jaarlijkse gewicht virgin plastic (kg)</v>
      </c>
      <c r="G411" s="67">
        <f xml:space="preserve"> G$240</f>
        <v>2968.16</v>
      </c>
      <c r="H411" s="64" t="str">
        <f xml:space="preserve"> H$240</f>
        <v>kg / jaar</v>
      </c>
    </row>
    <row r="412" spans="6:8" ht="1.95" customHeight="1" x14ac:dyDescent="0.3">
      <c r="F412" s="46"/>
      <c r="G412" s="46"/>
      <c r="H412" s="46"/>
    </row>
    <row r="413" spans="6:8" ht="13.95" customHeight="1" x14ac:dyDescent="0.3">
      <c r="F413" s="68" t="s">
        <v>928</v>
      </c>
      <c r="G413" s="73">
        <f>G406*$G$411</f>
        <v>10888.345013935999</v>
      </c>
      <c r="H413" s="68" t="s">
        <v>480</v>
      </c>
    </row>
    <row r="414" spans="6:8" ht="13.95" customHeight="1" x14ac:dyDescent="0.3">
      <c r="F414" s="68" t="s">
        <v>929</v>
      </c>
      <c r="G414" s="73">
        <f t="shared" ref="G414:G416" si="10">G407*$G$411</f>
        <v>275955.22864353599</v>
      </c>
      <c r="H414" s="68" t="s">
        <v>480</v>
      </c>
    </row>
    <row r="415" spans="6:8" ht="13.95" customHeight="1" x14ac:dyDescent="0.3">
      <c r="F415" s="68" t="s">
        <v>930</v>
      </c>
      <c r="G415" s="73">
        <f t="shared" si="10"/>
        <v>38.826500959999997</v>
      </c>
      <c r="H415" s="68" t="s">
        <v>481</v>
      </c>
    </row>
    <row r="416" spans="6:8" ht="13.95" customHeight="1" x14ac:dyDescent="0.3">
      <c r="F416" s="68" t="s">
        <v>931</v>
      </c>
      <c r="G416" s="73">
        <f t="shared" si="10"/>
        <v>9322.1001119999983</v>
      </c>
      <c r="H416" s="68" t="s">
        <v>482</v>
      </c>
    </row>
    <row r="417" spans="5:10" ht="13.95" customHeight="1" x14ac:dyDescent="0.3">
      <c r="F417" s="46"/>
      <c r="G417" s="46"/>
      <c r="H417" s="46"/>
    </row>
    <row r="418" spans="5:10" ht="13.95" customHeight="1" x14ac:dyDescent="0.3">
      <c r="E418" s="53" t="s">
        <v>923</v>
      </c>
      <c r="F418" s="46"/>
      <c r="G418" s="46"/>
      <c r="H418" s="46"/>
    </row>
    <row r="419" spans="5:10" ht="13.95" customHeight="1" x14ac:dyDescent="0.3">
      <c r="F419" s="46" t="str">
        <f xml:space="preserve"> Inputs!E$107</f>
        <v>Recycled PE granulaat, hernieuwbare energie, biomassa</v>
      </c>
      <c r="G419" s="74">
        <f xml:space="preserve"> Inputs!F$107</f>
        <v>0.64571000000000001</v>
      </c>
      <c r="H419" s="46" t="str">
        <f xml:space="preserve"> Inputs!G$107</f>
        <v>MJ-eq / kg</v>
      </c>
      <c r="I419" s="46"/>
      <c r="J419" s="46"/>
    </row>
    <row r="420" spans="5:10" ht="13.95" customHeight="1" x14ac:dyDescent="0.3">
      <c r="F420" s="46" t="str">
        <f xml:space="preserve"> Inputs!E$108</f>
        <v>Recycled PE granulaat, hernieuwbare energie, geothermie</v>
      </c>
      <c r="G420" s="74">
        <f xml:space="preserve"> Inputs!F$108</f>
        <v>1.5873000000000002E-2</v>
      </c>
      <c r="H420" s="46" t="str">
        <f xml:space="preserve"> Inputs!G$108</f>
        <v>MJ-eq / kg</v>
      </c>
      <c r="I420" s="46"/>
      <c r="J420" s="46"/>
    </row>
    <row r="421" spans="5:10" ht="13.95" customHeight="1" x14ac:dyDescent="0.3">
      <c r="F421" s="46" t="str">
        <f xml:space="preserve"> Inputs!E$109</f>
        <v>Recycled PE granulaat, hernieuwbare energie, zon</v>
      </c>
      <c r="G421" s="74">
        <f xml:space="preserve"> Inputs!F$109</f>
        <v>0.10088</v>
      </c>
      <c r="H421" s="46" t="str">
        <f xml:space="preserve"> Inputs!G$109</f>
        <v>MJ-eq / kg</v>
      </c>
      <c r="I421" s="46"/>
      <c r="J421" s="46"/>
    </row>
    <row r="422" spans="5:10" ht="13.95" customHeight="1" x14ac:dyDescent="0.3">
      <c r="F422" s="46" t="str">
        <f xml:space="preserve"> Inputs!E$110</f>
        <v>Recycled PE granulaat, hernieuwbare energie, water</v>
      </c>
      <c r="G422" s="74">
        <f xml:space="preserve"> Inputs!F$110</f>
        <v>0.57150999999999996</v>
      </c>
      <c r="H422" s="46" t="str">
        <f xml:space="preserve"> Inputs!G$110</f>
        <v>MJ-eq / kg</v>
      </c>
      <c r="I422" s="46"/>
      <c r="J422" s="46"/>
    </row>
    <row r="423" spans="5:10" ht="13.95" customHeight="1" x14ac:dyDescent="0.3">
      <c r="F423" s="46" t="str">
        <f xml:space="preserve"> Inputs!E$111</f>
        <v>Recycled PE granulaat, hernieuwbare energie, wind</v>
      </c>
      <c r="G423" s="74">
        <f xml:space="preserve"> Inputs!F$111</f>
        <v>0.21243999999999999</v>
      </c>
      <c r="H423" s="46" t="str">
        <f xml:space="preserve"> Inputs!G$111</f>
        <v>MJ-eq / kg</v>
      </c>
      <c r="I423" s="46"/>
      <c r="J423" s="46"/>
    </row>
    <row r="424" spans="5:10" ht="1.95" customHeight="1" x14ac:dyDescent="0.3">
      <c r="F424" s="46"/>
      <c r="G424" s="74"/>
      <c r="H424" s="46"/>
      <c r="I424" s="46"/>
      <c r="J424" s="46"/>
    </row>
    <row r="425" spans="5:10" ht="13.95" customHeight="1" x14ac:dyDescent="0.3">
      <c r="F425" s="46" t="str">
        <f xml:space="preserve"> Inputs!E$113</f>
        <v>Recycled PE granulaat, niet-hernieuwbare energie, fossiel</v>
      </c>
      <c r="G425" s="74">
        <f xml:space="preserve"> Inputs!F$113</f>
        <v>6.2297000000000002</v>
      </c>
      <c r="H425" s="46" t="str">
        <f xml:space="preserve"> Inputs!G$113</f>
        <v>MJ-eq / kg</v>
      </c>
      <c r="I425" s="46"/>
      <c r="J425" s="46"/>
    </row>
    <row r="426" spans="5:10" ht="13.95" customHeight="1" x14ac:dyDescent="0.3">
      <c r="F426" s="46" t="str">
        <f xml:space="preserve"> Inputs!E$114</f>
        <v>Recycled PE granulaat, niet-hernieuwbare energie, nucleair</v>
      </c>
      <c r="G426" s="74">
        <f xml:space="preserve"> Inputs!F$114</f>
        <v>2.3791000000000002</v>
      </c>
      <c r="H426" s="46" t="str">
        <f xml:space="preserve"> Inputs!G$114</f>
        <v>MJ-eq / kg</v>
      </c>
      <c r="I426" s="46"/>
      <c r="J426" s="46"/>
    </row>
    <row r="427" spans="5:10" ht="13.95" customHeight="1" x14ac:dyDescent="0.3">
      <c r="F427" s="46" t="str">
        <f xml:space="preserve"> Inputs!E$115</f>
        <v>Recycled PE granulaat, niet-hernieuwbare energie, oerbos</v>
      </c>
      <c r="G427" s="74">
        <f xml:space="preserve"> Inputs!F$115</f>
        <v>5.0013000000000002E-2</v>
      </c>
      <c r="H427" s="46" t="str">
        <f xml:space="preserve"> Inputs!G$115</f>
        <v>MJ-eq / kg</v>
      </c>
      <c r="I427" s="46"/>
      <c r="J427" s="46"/>
    </row>
    <row r="428" spans="5:10" ht="1.95" customHeight="1" x14ac:dyDescent="0.3">
      <c r="F428" s="46"/>
      <c r="G428" s="74"/>
      <c r="H428" s="46"/>
      <c r="I428" s="46"/>
      <c r="J428" s="46"/>
    </row>
    <row r="429" spans="5:10" ht="13.95" customHeight="1" x14ac:dyDescent="0.3">
      <c r="F429" s="46" t="str">
        <f xml:space="preserve"> Inputs!E$117</f>
        <v>Recycled PE granulaat, water</v>
      </c>
      <c r="G429" s="74">
        <f xml:space="preserve"> Inputs!F$117</f>
        <v>1.3717E-2</v>
      </c>
      <c r="H429" s="46" t="str">
        <f xml:space="preserve"> Inputs!G$117</f>
        <v>m3 / kg</v>
      </c>
      <c r="I429" s="46"/>
      <c r="J429" s="46"/>
    </row>
    <row r="430" spans="5:10" ht="1.95" customHeight="1" x14ac:dyDescent="0.3">
      <c r="F430" s="46"/>
      <c r="G430" s="74"/>
      <c r="H430" s="46"/>
      <c r="I430" s="46"/>
      <c r="J430" s="46"/>
    </row>
    <row r="431" spans="5:10" ht="13.95" customHeight="1" x14ac:dyDescent="0.3">
      <c r="F431" s="46" t="str">
        <f xml:space="preserve"> Inputs!E$119</f>
        <v>Recycled PE granulaat, GWP100</v>
      </c>
      <c r="G431" s="74">
        <f xml:space="preserve"> Inputs!F$119</f>
        <v>0.57764000000000004</v>
      </c>
      <c r="H431" s="46" t="str">
        <f xml:space="preserve"> Inputs!G$119</f>
        <v>kg CO2-eq / kg</v>
      </c>
      <c r="I431" s="46"/>
      <c r="J431" s="46"/>
    </row>
    <row r="432" spans="5:10" ht="13.95" customHeight="1" x14ac:dyDescent="0.3">
      <c r="F432" s="46"/>
      <c r="G432" s="46"/>
      <c r="H432" s="46"/>
    </row>
    <row r="433" spans="6:8" ht="13.95" customHeight="1" x14ac:dyDescent="0.3">
      <c r="F433" s="46" t="str">
        <f xml:space="preserve"> Inputs!E$122</f>
        <v>Plastic folie extrusie, hernieuwbare energie, biomassa</v>
      </c>
      <c r="G433" s="74">
        <f xml:space="preserve"> Inputs!F$122</f>
        <v>1.4347000000000001</v>
      </c>
      <c r="H433" s="46" t="str">
        <f xml:space="preserve"> Inputs!G$122</f>
        <v>MJ-eq / kg</v>
      </c>
    </row>
    <row r="434" spans="6:8" ht="13.95" customHeight="1" x14ac:dyDescent="0.3">
      <c r="F434" s="46" t="str">
        <f xml:space="preserve"> Inputs!E$123</f>
        <v>Plastic folie extrusie, hernieuwbare energie, geothermie</v>
      </c>
      <c r="G434" s="74">
        <f xml:space="preserve"> Inputs!F$123</f>
        <v>1.7413000000000001E-2</v>
      </c>
      <c r="H434" s="46" t="str">
        <f xml:space="preserve"> Inputs!G$123</f>
        <v>MJ-eq / kg</v>
      </c>
    </row>
    <row r="435" spans="6:8" ht="13.95" customHeight="1" x14ac:dyDescent="0.3">
      <c r="F435" s="46" t="str">
        <f xml:space="preserve"> Inputs!E$124</f>
        <v>Plastic folie extrusie, hernieuwbare energie, zon</v>
      </c>
      <c r="G435" s="79">
        <f xml:space="preserve"> Inputs!F$124</f>
        <v>2.5543000000000001E-4</v>
      </c>
      <c r="H435" s="46" t="str">
        <f xml:space="preserve"> Inputs!G$124</f>
        <v>MJ-eq / kg</v>
      </c>
    </row>
    <row r="436" spans="6:8" ht="13.95" customHeight="1" x14ac:dyDescent="0.3">
      <c r="F436" s="46" t="str">
        <f xml:space="preserve"> Inputs!E$125</f>
        <v>Plastic folie extrusie, hernieuwbare energie, water</v>
      </c>
      <c r="G436" s="74">
        <f xml:space="preserve"> Inputs!F$125</f>
        <v>0.51980999999999999</v>
      </c>
      <c r="H436" s="46" t="str">
        <f xml:space="preserve"> Inputs!G$125</f>
        <v>MJ-eq / kg</v>
      </c>
    </row>
    <row r="437" spans="6:8" ht="13.95" customHeight="1" x14ac:dyDescent="0.3">
      <c r="F437" s="46" t="str">
        <f xml:space="preserve"> Inputs!E$126</f>
        <v>Plastic folie extrusie, hernieuwbare energie, wind</v>
      </c>
      <c r="G437" s="74">
        <f xml:space="preserve"> Inputs!F$126</f>
        <v>0.25369000000000003</v>
      </c>
      <c r="H437" s="46" t="str">
        <f xml:space="preserve"> Inputs!G$126</f>
        <v>MJ-eq / kg</v>
      </c>
    </row>
    <row r="438" spans="6:8" ht="1.95" customHeight="1" x14ac:dyDescent="0.3">
      <c r="F438" s="46"/>
      <c r="G438" s="74"/>
      <c r="H438" s="46"/>
    </row>
    <row r="439" spans="6:8" ht="13.95" customHeight="1" x14ac:dyDescent="0.3">
      <c r="F439" s="46" t="str">
        <f xml:space="preserve"> Inputs!E$128</f>
        <v>Plastic folie extrusie, niet-hernieuwbare energie, fossiel</v>
      </c>
      <c r="G439" s="74">
        <f xml:space="preserve"> Inputs!F$128</f>
        <v>5.1113</v>
      </c>
      <c r="H439" s="46" t="str">
        <f xml:space="preserve"> Inputs!G$128</f>
        <v>MJ-eq / kg</v>
      </c>
    </row>
    <row r="440" spans="6:8" ht="13.95" customHeight="1" x14ac:dyDescent="0.3">
      <c r="F440" s="46" t="str">
        <f xml:space="preserve"> Inputs!E$129</f>
        <v>Plastic folie extrusie, niet-hernieuwbare energie, nucleair</v>
      </c>
      <c r="G440" s="74">
        <f xml:space="preserve"> Inputs!F$129</f>
        <v>3.1602999999999999</v>
      </c>
      <c r="H440" s="46" t="str">
        <f xml:space="preserve"> Inputs!G$129</f>
        <v>MJ-eq / kg</v>
      </c>
    </row>
    <row r="441" spans="6:8" ht="13.95" customHeight="1" x14ac:dyDescent="0.3">
      <c r="F441" s="46" t="str">
        <f xml:space="preserve"> Inputs!E$130</f>
        <v>Plastic folie extrusie, niet-hernieuwbare energie, oerbos</v>
      </c>
      <c r="G441" s="79">
        <f xml:space="preserve"> Inputs!F$130</f>
        <v>3.7244999999999997E-4</v>
      </c>
      <c r="H441" s="46" t="str">
        <f xml:space="preserve"> Inputs!G$130</f>
        <v>MJ-eq / kg</v>
      </c>
    </row>
    <row r="442" spans="6:8" ht="1.95" customHeight="1" x14ac:dyDescent="0.3">
      <c r="F442" s="46"/>
      <c r="G442" s="74"/>
      <c r="H442" s="46"/>
    </row>
    <row r="443" spans="6:8" ht="13.95" customHeight="1" x14ac:dyDescent="0.3">
      <c r="F443" s="46" t="str">
        <f xml:space="preserve"> Inputs!E$132</f>
        <v>Plastic folie extrusie, water</v>
      </c>
      <c r="G443" s="79">
        <f xml:space="preserve"> Inputs!F$132</f>
        <v>3.5967999999999998E-3</v>
      </c>
      <c r="H443" s="46" t="str">
        <f xml:space="preserve"> Inputs!G$132</f>
        <v>m3 / kg</v>
      </c>
    </row>
    <row r="444" spans="6:8" ht="1.95" customHeight="1" x14ac:dyDescent="0.3">
      <c r="F444" s="46"/>
      <c r="G444" s="74"/>
      <c r="H444" s="46"/>
    </row>
    <row r="445" spans="6:8" ht="13.95" customHeight="1" x14ac:dyDescent="0.3">
      <c r="F445" s="46" t="str">
        <f xml:space="preserve"> Inputs!E$134</f>
        <v>Plastic folie extrusie, GWP100</v>
      </c>
      <c r="G445" s="74">
        <f xml:space="preserve"> Inputs!F$134</f>
        <v>0.40900999999999998</v>
      </c>
      <c r="H445" s="46" t="str">
        <f xml:space="preserve"> Inputs!G$134</f>
        <v>kg CO2-eq / kg</v>
      </c>
    </row>
    <row r="446" spans="6:8" ht="13.95" customHeight="1" x14ac:dyDescent="0.3">
      <c r="F446" s="46"/>
      <c r="G446" s="46"/>
      <c r="H446" s="46"/>
    </row>
    <row r="447" spans="6:8" ht="13.95" customHeight="1" x14ac:dyDescent="0.3">
      <c r="F447" s="80" t="s">
        <v>932</v>
      </c>
      <c r="G447" s="75">
        <f>G419+G433</f>
        <v>2.0804100000000001</v>
      </c>
      <c r="H447" s="80" t="s">
        <v>473</v>
      </c>
    </row>
    <row r="448" spans="6:8" ht="13.95" customHeight="1" x14ac:dyDescent="0.3">
      <c r="F448" s="80" t="s">
        <v>933</v>
      </c>
      <c r="G448" s="75">
        <f t="shared" ref="G448:G459" si="11">G420+G434</f>
        <v>3.3286000000000003E-2</v>
      </c>
      <c r="H448" s="80" t="s">
        <v>473</v>
      </c>
    </row>
    <row r="449" spans="6:8" ht="13.95" customHeight="1" x14ac:dyDescent="0.3">
      <c r="F449" s="80" t="s">
        <v>934</v>
      </c>
      <c r="G449" s="75">
        <f t="shared" si="11"/>
        <v>0.10113543</v>
      </c>
      <c r="H449" s="80" t="s">
        <v>473</v>
      </c>
    </row>
    <row r="450" spans="6:8" ht="13.95" customHeight="1" x14ac:dyDescent="0.3">
      <c r="F450" s="80" t="s">
        <v>935</v>
      </c>
      <c r="G450" s="75">
        <f t="shared" si="11"/>
        <v>1.0913200000000001</v>
      </c>
      <c r="H450" s="80" t="s">
        <v>473</v>
      </c>
    </row>
    <row r="451" spans="6:8" ht="13.95" customHeight="1" x14ac:dyDescent="0.3">
      <c r="F451" s="80" t="s">
        <v>936</v>
      </c>
      <c r="G451" s="75">
        <f t="shared" si="11"/>
        <v>0.46613000000000004</v>
      </c>
      <c r="H451" s="80" t="s">
        <v>473</v>
      </c>
    </row>
    <row r="452" spans="6:8" ht="1.95" customHeight="1" x14ac:dyDescent="0.3">
      <c r="F452" s="80"/>
      <c r="G452" s="68"/>
      <c r="H452" s="80"/>
    </row>
    <row r="453" spans="6:8" ht="13.95" customHeight="1" x14ac:dyDescent="0.3">
      <c r="F453" s="80" t="s">
        <v>937</v>
      </c>
      <c r="G453" s="75">
        <f t="shared" si="11"/>
        <v>11.341000000000001</v>
      </c>
      <c r="H453" s="80" t="s">
        <v>473</v>
      </c>
    </row>
    <row r="454" spans="6:8" ht="13.95" customHeight="1" x14ac:dyDescent="0.3">
      <c r="F454" s="80" t="s">
        <v>938</v>
      </c>
      <c r="G454" s="75">
        <f t="shared" si="11"/>
        <v>5.5394000000000005</v>
      </c>
      <c r="H454" s="80" t="s">
        <v>473</v>
      </c>
    </row>
    <row r="455" spans="6:8" ht="13.95" customHeight="1" x14ac:dyDescent="0.3">
      <c r="F455" s="80" t="s">
        <v>939</v>
      </c>
      <c r="G455" s="75">
        <f t="shared" si="11"/>
        <v>5.0385450000000005E-2</v>
      </c>
      <c r="H455" s="80" t="s">
        <v>473</v>
      </c>
    </row>
    <row r="456" spans="6:8" ht="1.95" customHeight="1" x14ac:dyDescent="0.3">
      <c r="F456" s="80"/>
      <c r="G456" s="68"/>
      <c r="H456" s="80"/>
    </row>
    <row r="457" spans="6:8" ht="13.95" customHeight="1" x14ac:dyDescent="0.3">
      <c r="F457" s="80" t="s">
        <v>940</v>
      </c>
      <c r="G457" s="75">
        <f t="shared" si="11"/>
        <v>1.7313800000000001E-2</v>
      </c>
      <c r="H457" s="80" t="s">
        <v>474</v>
      </c>
    </row>
    <row r="458" spans="6:8" ht="1.95" customHeight="1" x14ac:dyDescent="0.3">
      <c r="F458" s="80"/>
      <c r="G458" s="68"/>
      <c r="H458" s="80"/>
    </row>
    <row r="459" spans="6:8" ht="13.95" customHeight="1" x14ac:dyDescent="0.3">
      <c r="F459" s="80" t="s">
        <v>941</v>
      </c>
      <c r="G459" s="75">
        <f t="shared" si="11"/>
        <v>0.98665000000000003</v>
      </c>
      <c r="H459" s="80" t="s">
        <v>475</v>
      </c>
    </row>
    <row r="460" spans="6:8" ht="13.95" customHeight="1" x14ac:dyDescent="0.3">
      <c r="F460" s="46"/>
      <c r="G460" s="46"/>
      <c r="H460" s="46"/>
    </row>
    <row r="461" spans="6:8" ht="13.95" customHeight="1" x14ac:dyDescent="0.3">
      <c r="F461" s="68" t="s">
        <v>942</v>
      </c>
      <c r="G461" s="75">
        <f>SUM(G447:G451)</f>
        <v>3.77228143</v>
      </c>
      <c r="H461" s="68" t="s">
        <v>473</v>
      </c>
    </row>
    <row r="462" spans="6:8" ht="13.95" customHeight="1" x14ac:dyDescent="0.3">
      <c r="F462" s="68" t="s">
        <v>943</v>
      </c>
      <c r="G462" s="75">
        <f>SUM(G453:G455)</f>
        <v>16.930785450000002</v>
      </c>
      <c r="H462" s="68" t="s">
        <v>473</v>
      </c>
    </row>
    <row r="463" spans="6:8" ht="13.95" customHeight="1" x14ac:dyDescent="0.3">
      <c r="F463" s="68" t="s">
        <v>944</v>
      </c>
      <c r="G463" s="75">
        <f>G457</f>
        <v>1.7313800000000001E-2</v>
      </c>
      <c r="H463" s="68" t="s">
        <v>474</v>
      </c>
    </row>
    <row r="464" spans="6:8" ht="13.95" customHeight="1" x14ac:dyDescent="0.3">
      <c r="F464" s="68" t="s">
        <v>945</v>
      </c>
      <c r="G464" s="75">
        <f>G459</f>
        <v>0.98665000000000003</v>
      </c>
      <c r="H464" s="68" t="s">
        <v>475</v>
      </c>
    </row>
    <row r="465" spans="6:8" ht="1.95" customHeight="1" x14ac:dyDescent="0.3">
      <c r="F465" s="46"/>
      <c r="G465" s="46"/>
      <c r="H465" s="46"/>
    </row>
    <row r="466" spans="6:8" ht="13.95" customHeight="1" x14ac:dyDescent="0.3">
      <c r="F466" s="64" t="str">
        <f xml:space="preserve"> F$241</f>
        <v>Jaarlijkse gewicht recycled plastic (kg)</v>
      </c>
      <c r="G466" s="67">
        <f xml:space="preserve"> G$241</f>
        <v>0</v>
      </c>
      <c r="H466" s="64" t="str">
        <f xml:space="preserve"> H$241</f>
        <v>kg / jaar</v>
      </c>
    </row>
    <row r="467" spans="6:8" ht="1.95" customHeight="1" x14ac:dyDescent="0.3">
      <c r="F467" s="46"/>
      <c r="G467" s="46"/>
      <c r="H467" s="46"/>
    </row>
    <row r="468" spans="6:8" ht="13.95" customHeight="1" x14ac:dyDescent="0.3">
      <c r="F468" s="68" t="s">
        <v>946</v>
      </c>
      <c r="G468" s="73">
        <f>G461*$G$466</f>
        <v>0</v>
      </c>
      <c r="H468" s="68" t="s">
        <v>480</v>
      </c>
    </row>
    <row r="469" spans="6:8" ht="13.95" customHeight="1" x14ac:dyDescent="0.3">
      <c r="F469" s="68" t="s">
        <v>947</v>
      </c>
      <c r="G469" s="73">
        <f t="shared" ref="G469:G471" si="12">G462*$G$466</f>
        <v>0</v>
      </c>
      <c r="H469" s="68" t="s">
        <v>480</v>
      </c>
    </row>
    <row r="470" spans="6:8" ht="13.95" customHeight="1" x14ac:dyDescent="0.3">
      <c r="F470" s="68" t="s">
        <v>948</v>
      </c>
      <c r="G470" s="73">
        <f t="shared" si="12"/>
        <v>0</v>
      </c>
      <c r="H470" s="68" t="s">
        <v>481</v>
      </c>
    </row>
    <row r="471" spans="6:8" ht="13.95" customHeight="1" x14ac:dyDescent="0.3">
      <c r="F471" s="68" t="s">
        <v>949</v>
      </c>
      <c r="G471" s="73">
        <f t="shared" si="12"/>
        <v>0</v>
      </c>
      <c r="H471" s="68" t="s">
        <v>482</v>
      </c>
    </row>
    <row r="472" spans="6:8" ht="13.95" customHeight="1" x14ac:dyDescent="0.3">
      <c r="F472" s="46"/>
      <c r="G472" s="46"/>
      <c r="H472" s="46"/>
    </row>
    <row r="473" spans="6:8" ht="13.95" customHeight="1" x14ac:dyDescent="0.3">
      <c r="F473" s="64" t="str">
        <f xml:space="preserve"> F$413</f>
        <v>Impact virgin plastic folie per jaar, hernieuwbare energie</v>
      </c>
      <c r="G473" s="67">
        <f xml:space="preserve"> G$413</f>
        <v>10888.345013935999</v>
      </c>
      <c r="H473" s="64" t="str">
        <f xml:space="preserve"> H$413</f>
        <v>MJ / jaar</v>
      </c>
    </row>
    <row r="474" spans="6:8" ht="13.95" customHeight="1" x14ac:dyDescent="0.3">
      <c r="F474" s="64" t="str">
        <f xml:space="preserve"> F$414</f>
        <v>Impact virgin plastic folie per jaar, niet-hernieuwbare energie</v>
      </c>
      <c r="G474" s="67">
        <f xml:space="preserve"> G$414</f>
        <v>275955.22864353599</v>
      </c>
      <c r="H474" s="64" t="str">
        <f xml:space="preserve"> H$414</f>
        <v>MJ / jaar</v>
      </c>
    </row>
    <row r="475" spans="6:8" ht="13.95" customHeight="1" x14ac:dyDescent="0.3">
      <c r="F475" s="64" t="str">
        <f xml:space="preserve"> F$415</f>
        <v>Impact virgin plastic folie per jaar, water</v>
      </c>
      <c r="G475" s="67">
        <f xml:space="preserve"> G$415</f>
        <v>38.826500959999997</v>
      </c>
      <c r="H475" s="64" t="str">
        <f xml:space="preserve"> H$415</f>
        <v>M3 / jaar</v>
      </c>
    </row>
    <row r="476" spans="6:8" ht="13.95" customHeight="1" x14ac:dyDescent="0.3">
      <c r="F476" s="64" t="str">
        <f xml:space="preserve"> F$416</f>
        <v>Impact virgin plastic folie per jaar, GWP100</v>
      </c>
      <c r="G476" s="67">
        <f xml:space="preserve"> G$416</f>
        <v>9322.1001119999983</v>
      </c>
      <c r="H476" s="64" t="str">
        <f xml:space="preserve"> H$416</f>
        <v>kg CO2-eq / jaar</v>
      </c>
    </row>
    <row r="477" spans="6:8" ht="1.95" customHeight="1" x14ac:dyDescent="0.3">
      <c r="F477" s="46"/>
      <c r="G477" s="46"/>
      <c r="H477" s="46"/>
    </row>
    <row r="478" spans="6:8" ht="13.95" customHeight="1" x14ac:dyDescent="0.3">
      <c r="F478" s="64" t="str">
        <f xml:space="preserve"> F$468</f>
        <v>Impact Recycled plastic per jaar, hernieuwbare energie</v>
      </c>
      <c r="G478" s="67">
        <f xml:space="preserve"> G$468</f>
        <v>0</v>
      </c>
      <c r="H478" s="64" t="str">
        <f xml:space="preserve"> H$468</f>
        <v>MJ / jaar</v>
      </c>
    </row>
    <row r="479" spans="6:8" ht="13.95" customHeight="1" x14ac:dyDescent="0.3">
      <c r="F479" s="64" t="str">
        <f xml:space="preserve"> F$469</f>
        <v>Impact Recycled plastic per jaar, niet-hernieuwbare energie</v>
      </c>
      <c r="G479" s="67">
        <f xml:space="preserve"> G$469</f>
        <v>0</v>
      </c>
      <c r="H479" s="64" t="str">
        <f xml:space="preserve"> H$469</f>
        <v>MJ / jaar</v>
      </c>
    </row>
    <row r="480" spans="6:8" ht="13.95" customHeight="1" x14ac:dyDescent="0.3">
      <c r="F480" s="64" t="str">
        <f xml:space="preserve"> F$470</f>
        <v>Impact Recycled plastic per jaar, water</v>
      </c>
      <c r="G480" s="67">
        <f xml:space="preserve"> G$470</f>
        <v>0</v>
      </c>
      <c r="H480" s="64" t="str">
        <f xml:space="preserve"> H$470</f>
        <v>M3 / jaar</v>
      </c>
    </row>
    <row r="481" spans="2:8" ht="13.95" customHeight="1" x14ac:dyDescent="0.3">
      <c r="F481" s="64" t="str">
        <f xml:space="preserve"> F$471</f>
        <v>Impact Recycled plastic per jaar, GWP100</v>
      </c>
      <c r="G481" s="67">
        <f xml:space="preserve"> G$471</f>
        <v>0</v>
      </c>
      <c r="H481" s="64" t="str">
        <f xml:space="preserve"> H$471</f>
        <v>kg CO2-eq / jaar</v>
      </c>
    </row>
    <row r="482" spans="2:8" ht="1.95" customHeight="1" x14ac:dyDescent="0.3">
      <c r="F482" s="46"/>
      <c r="G482" s="46"/>
      <c r="H482" s="46"/>
    </row>
    <row r="483" spans="2:8" ht="13.95" customHeight="1" x14ac:dyDescent="0.3">
      <c r="F483" s="81" t="s">
        <v>476</v>
      </c>
      <c r="G483" s="82">
        <f>G473+G478</f>
        <v>10888.345013935999</v>
      </c>
      <c r="H483" s="81" t="s">
        <v>480</v>
      </c>
    </row>
    <row r="484" spans="2:8" ht="13.95" customHeight="1" x14ac:dyDescent="0.3">
      <c r="F484" s="81" t="s">
        <v>477</v>
      </c>
      <c r="G484" s="82">
        <f t="shared" ref="G484:G486" si="13">G474+G479</f>
        <v>275955.22864353599</v>
      </c>
      <c r="H484" s="81" t="s">
        <v>480</v>
      </c>
    </row>
    <row r="485" spans="2:8" ht="13.95" customHeight="1" x14ac:dyDescent="0.3">
      <c r="F485" s="81" t="s">
        <v>478</v>
      </c>
      <c r="G485" s="82">
        <f t="shared" si="13"/>
        <v>38.826500959999997</v>
      </c>
      <c r="H485" s="81" t="s">
        <v>481</v>
      </c>
    </row>
    <row r="486" spans="2:8" ht="13.95" customHeight="1" x14ac:dyDescent="0.3">
      <c r="F486" s="81" t="s">
        <v>479</v>
      </c>
      <c r="G486" s="82">
        <f t="shared" si="13"/>
        <v>9322.1001119999983</v>
      </c>
      <c r="H486" s="81" t="s">
        <v>482</v>
      </c>
    </row>
    <row r="487" spans="2:8" ht="13.95" customHeight="1" x14ac:dyDescent="0.3"/>
    <row r="488" spans="2:8" ht="13.95" customHeight="1" x14ac:dyDescent="0.3">
      <c r="B488" s="53" t="s">
        <v>495</v>
      </c>
    </row>
    <row r="489" spans="2:8" ht="13.95" customHeight="1" x14ac:dyDescent="0.3">
      <c r="C489" s="57" t="s">
        <v>667</v>
      </c>
    </row>
    <row r="490" spans="2:8" ht="13.95" customHeight="1" x14ac:dyDescent="0.3">
      <c r="F490" s="64" t="str">
        <f t="shared" ref="F490:H491" si="14" xml:space="preserve"> F135</f>
        <v>Wekelijkse gewicht virgin ong. recl., ongeadresseerd normaal (kg)</v>
      </c>
      <c r="G490" s="67">
        <f t="shared" si="14"/>
        <v>0</v>
      </c>
      <c r="H490" s="64" t="str">
        <f t="shared" si="14"/>
        <v>kg / week</v>
      </c>
    </row>
    <row r="491" spans="2:8" ht="13.95" customHeight="1" x14ac:dyDescent="0.3">
      <c r="F491" s="64" t="str">
        <f t="shared" si="14"/>
        <v>Wekelijkse gewicht recycled ong. recl., ongeadresseerd normaal (kg)</v>
      </c>
      <c r="G491" s="67">
        <f t="shared" si="14"/>
        <v>18000</v>
      </c>
      <c r="H491" s="64" t="str">
        <f t="shared" si="14"/>
        <v>kg / week</v>
      </c>
    </row>
    <row r="492" spans="2:8" ht="13.95" customHeight="1" x14ac:dyDescent="0.3">
      <c r="F492" s="64" t="str">
        <f xml:space="preserve"> F$137</f>
        <v>Wekelijkse gewicht virgin plastic, ongeadresseerd normaal (kg)</v>
      </c>
      <c r="G492" s="67">
        <f xml:space="preserve"> G$137</f>
        <v>54</v>
      </c>
      <c r="H492" s="64" t="str">
        <f xml:space="preserve"> H$137</f>
        <v>kg / week</v>
      </c>
    </row>
    <row r="493" spans="2:8" ht="13.95" customHeight="1" x14ac:dyDescent="0.3">
      <c r="F493" s="64" t="str">
        <f xml:space="preserve"> F$138</f>
        <v>Wekelijkse gewicht recycled plastic, ongeadresseerd normaal (kg)</v>
      </c>
      <c r="G493" s="67">
        <f xml:space="preserve"> G$138</f>
        <v>0</v>
      </c>
      <c r="H493" s="64" t="str">
        <f xml:space="preserve"> H$138</f>
        <v>kg / week</v>
      </c>
    </row>
    <row r="494" spans="2:8" ht="1.95" customHeight="1" x14ac:dyDescent="0.3"/>
    <row r="495" spans="2:8" ht="13.95" customHeight="1" x14ac:dyDescent="0.3">
      <c r="F495" t="s">
        <v>1151</v>
      </c>
      <c r="G495" s="66">
        <f>SUM(G490:G493)</f>
        <v>18054</v>
      </c>
      <c r="H495" t="s">
        <v>457</v>
      </c>
    </row>
    <row r="496" spans="2:8" ht="13.95" customHeight="1" x14ac:dyDescent="0.3"/>
    <row r="497" spans="6:10" ht="13.95" customHeight="1" x14ac:dyDescent="0.3">
      <c r="F497" s="64" t="str">
        <f xml:space="preserve"> F$158</f>
        <v>Wekelijkse gewicht virgin ong. recl., geadresseerd selectie (kg)</v>
      </c>
      <c r="G497" s="67">
        <f xml:space="preserve"> G$158</f>
        <v>0</v>
      </c>
      <c r="H497" s="64" t="str">
        <f xml:space="preserve"> H$158</f>
        <v>kg / week</v>
      </c>
    </row>
    <row r="498" spans="6:10" ht="13.95" customHeight="1" x14ac:dyDescent="0.3">
      <c r="F498" s="64" t="str">
        <f xml:space="preserve"> F$159</f>
        <v>Wekelijkse gewicht recycled ong. recl., geadresseerd selectie (kg)</v>
      </c>
      <c r="G498" s="67">
        <f xml:space="preserve"> G$159</f>
        <v>68.992000000000004</v>
      </c>
      <c r="H498" s="64" t="str">
        <f xml:space="preserve"> H$159</f>
        <v>kg / week</v>
      </c>
    </row>
    <row r="499" spans="6:10" ht="13.95" customHeight="1" x14ac:dyDescent="0.3">
      <c r="F499" s="64" t="str">
        <f xml:space="preserve"> F$160</f>
        <v>Wekelijkse gewicht virgin plastic, geadresseerd selectie (kg)</v>
      </c>
      <c r="G499" s="67">
        <f xml:space="preserve"> G$160</f>
        <v>3.08</v>
      </c>
      <c r="H499" s="64" t="str">
        <f xml:space="preserve"> H$160</f>
        <v>kg / week</v>
      </c>
    </row>
    <row r="500" spans="6:10" ht="13.95" customHeight="1" x14ac:dyDescent="0.3">
      <c r="F500" s="64" t="str">
        <f xml:space="preserve"> F$161</f>
        <v>Wekelijkse gewicht recycled plastic, geadresseerd selectie (kg)</v>
      </c>
      <c r="G500" s="67">
        <f xml:space="preserve"> G$161</f>
        <v>0</v>
      </c>
      <c r="H500" s="64" t="str">
        <f xml:space="preserve"> H$161</f>
        <v>kg / week</v>
      </c>
    </row>
    <row r="501" spans="6:10" ht="1.95" customHeight="1" x14ac:dyDescent="0.3">
      <c r="F501" s="64"/>
      <c r="G501" s="67"/>
      <c r="H501" s="64"/>
    </row>
    <row r="502" spans="6:10" ht="13.95" customHeight="1" x14ac:dyDescent="0.3">
      <c r="F502" t="s">
        <v>1152</v>
      </c>
      <c r="G502" s="66">
        <f>SUM(G497:G500)</f>
        <v>72.072000000000003</v>
      </c>
      <c r="H502" t="s">
        <v>457</v>
      </c>
    </row>
    <row r="503" spans="6:10" ht="13.95" customHeight="1" x14ac:dyDescent="0.3"/>
    <row r="504" spans="6:10" ht="13.95" customHeight="1" x14ac:dyDescent="0.3">
      <c r="F504" s="64" t="str">
        <f xml:space="preserve"> F$218</f>
        <v>Wekelijkse gewicht opslag lokale folders (kg), recycled</v>
      </c>
      <c r="G504" s="127">
        <f xml:space="preserve"> G$218</f>
        <v>1069.1996000000001</v>
      </c>
      <c r="H504" s="64" t="str">
        <f xml:space="preserve"> H$218</f>
        <v>kg / week</v>
      </c>
      <c r="J504" s="43"/>
    </row>
    <row r="505" spans="6:10" ht="13.95" customHeight="1" x14ac:dyDescent="0.3">
      <c r="F505" s="64" t="str">
        <f xml:space="preserve"> F$495</f>
        <v>Wekelijkse gewicht, ongeadresseerd normaal</v>
      </c>
      <c r="G505" s="67">
        <f xml:space="preserve"> G$495</f>
        <v>18054</v>
      </c>
      <c r="H505" s="64" t="str">
        <f xml:space="preserve"> H$495</f>
        <v>kg / week</v>
      </c>
    </row>
    <row r="506" spans="6:10" ht="13.95" customHeight="1" x14ac:dyDescent="0.3">
      <c r="F506" s="64" t="str">
        <f xml:space="preserve"> F$502</f>
        <v>Wekelijkse gewicht, geadresseerd selectie</v>
      </c>
      <c r="G506" s="67">
        <f xml:space="preserve"> G$502</f>
        <v>72.072000000000003</v>
      </c>
      <c r="H506" s="64" t="str">
        <f xml:space="preserve"> H$502</f>
        <v>kg / week</v>
      </c>
    </row>
    <row r="507" spans="6:10" ht="1.95" customHeight="1" x14ac:dyDescent="0.3">
      <c r="F507" s="64"/>
      <c r="G507" s="67"/>
      <c r="H507" s="64"/>
    </row>
    <row r="508" spans="6:10" ht="13.95" customHeight="1" x14ac:dyDescent="0.3">
      <c r="F508" t="s">
        <v>1582</v>
      </c>
      <c r="G508" s="66">
        <f>G505+G506+G504</f>
        <v>19195.2716</v>
      </c>
      <c r="H508" s="64" t="str">
        <f xml:space="preserve"> H$502</f>
        <v>kg / week</v>
      </c>
    </row>
    <row r="509" spans="6:10" ht="13.95" customHeight="1" x14ac:dyDescent="0.3"/>
    <row r="510" spans="6:10" ht="13.95" customHeight="1" x14ac:dyDescent="0.3">
      <c r="F510" s="64" t="str">
        <f xml:space="preserve"> F$199</f>
        <v>Wekelijkse gewicht virgin papier, huis-aan-huis (kg)</v>
      </c>
      <c r="G510" s="67">
        <f xml:space="preserve"> G$199</f>
        <v>0</v>
      </c>
      <c r="H510" s="64" t="str">
        <f xml:space="preserve"> H$199</f>
        <v>kg / week</v>
      </c>
    </row>
    <row r="511" spans="6:10" ht="13.95" customHeight="1" x14ac:dyDescent="0.3">
      <c r="F511" s="64" t="str">
        <f xml:space="preserve"> F$200</f>
        <v>Wekelijkse gewicht recycled papier, huis-aan-huis (kg)</v>
      </c>
      <c r="G511" s="67">
        <f xml:space="preserve"> G$200</f>
        <v>3315</v>
      </c>
      <c r="H511" s="64" t="str">
        <f xml:space="preserve"> H$200</f>
        <v>kg / week</v>
      </c>
    </row>
    <row r="512" spans="6:10" ht="13.95" customHeight="1" x14ac:dyDescent="0.3">
      <c r="F512" s="64" t="str">
        <f xml:space="preserve"> F$201</f>
        <v>Wekelijkse gewicht virgin plastic, huis-aan-huis (kg)</v>
      </c>
      <c r="G512" s="67">
        <f xml:space="preserve"> G$201</f>
        <v>0</v>
      </c>
      <c r="H512" s="64" t="str">
        <f xml:space="preserve"> H$201</f>
        <v>kg / week</v>
      </c>
    </row>
    <row r="513" spans="3:10" ht="13.95" customHeight="1" x14ac:dyDescent="0.3">
      <c r="F513" s="64" t="str">
        <f xml:space="preserve"> F$202</f>
        <v>Wekelijkse gewicht recycled plastic, huis-aan-huis (kg)</v>
      </c>
      <c r="G513" s="67">
        <f xml:space="preserve"> G$202</f>
        <v>0</v>
      </c>
      <c r="H513" s="64" t="str">
        <f xml:space="preserve"> H$202</f>
        <v>kg / week</v>
      </c>
    </row>
    <row r="514" spans="3:10" ht="1.95" customHeight="1" x14ac:dyDescent="0.3">
      <c r="F514" s="64"/>
      <c r="G514" s="67"/>
      <c r="H514" s="64"/>
    </row>
    <row r="515" spans="3:10" ht="13.95" customHeight="1" x14ac:dyDescent="0.3">
      <c r="F515" t="s">
        <v>468</v>
      </c>
      <c r="G515" s="66">
        <f>SUM(G510:G513)</f>
        <v>3315</v>
      </c>
      <c r="H515" t="s">
        <v>457</v>
      </c>
    </row>
    <row r="516" spans="3:10" ht="13.95" customHeight="1" x14ac:dyDescent="0.3"/>
    <row r="517" spans="3:10" ht="13.95" customHeight="1" x14ac:dyDescent="0.3">
      <c r="C517" s="57" t="s">
        <v>969</v>
      </c>
      <c r="J517" t="s">
        <v>955</v>
      </c>
    </row>
    <row r="518" spans="3:10" ht="13.95" customHeight="1" x14ac:dyDescent="0.3">
      <c r="D518" t="s">
        <v>956</v>
      </c>
    </row>
    <row r="519" spans="3:10" ht="13.95" customHeight="1" x14ac:dyDescent="0.3">
      <c r="F519" s="46" t="str">
        <f xml:space="preserve"> Inputs!E$182</f>
        <v>Afstand druklocatie folders -&gt; Spotta verpaklocatie Meppel</v>
      </c>
      <c r="G519" s="46">
        <f xml:space="preserve"> Inputs!F$182</f>
        <v>203</v>
      </c>
      <c r="H519" s="46" t="str">
        <f xml:space="preserve"> Inputs!G$182</f>
        <v>km</v>
      </c>
    </row>
    <row r="520" spans="3:10" ht="13.95" customHeight="1" x14ac:dyDescent="0.3">
      <c r="F520" s="46" t="str">
        <f xml:space="preserve"> Inputs!E$183</f>
        <v>Afstand druklocatie folders -&gt; Spotta verpaklocatie Utrecht</v>
      </c>
      <c r="G520" s="46">
        <f xml:space="preserve"> Inputs!F$183</f>
        <v>96</v>
      </c>
      <c r="H520" s="46" t="str">
        <f xml:space="preserve"> Inputs!G$183</f>
        <v>km</v>
      </c>
    </row>
    <row r="521" spans="3:10" ht="13.95" customHeight="1" x14ac:dyDescent="0.3">
      <c r="F521" s="46" t="str">
        <f xml:space="preserve"> Inputs!E$184</f>
        <v>Afstand druklocatie folders -&gt; Spotta verpaklocatie Eindhoven</v>
      </c>
      <c r="G521" s="46">
        <f xml:space="preserve"> Inputs!F$184</f>
        <v>52</v>
      </c>
      <c r="H521" s="46" t="str">
        <f xml:space="preserve"> Inputs!G$184</f>
        <v>km</v>
      </c>
    </row>
    <row r="522" spans="3:10" ht="1.95" customHeight="1" x14ac:dyDescent="0.3">
      <c r="F522" s="86"/>
      <c r="G522" s="46"/>
      <c r="H522" s="46"/>
    </row>
    <row r="523" spans="3:10" ht="13.95" customHeight="1" x14ac:dyDescent="0.3">
      <c r="F523" s="86" t="str">
        <f xml:space="preserve"> Inputs!E$188</f>
        <v>% van folders dat naar Spotta Meppel gaat</v>
      </c>
      <c r="G523" s="93">
        <f xml:space="preserve"> Inputs!F$188</f>
        <v>0.2</v>
      </c>
      <c r="H523" s="46" t="str">
        <f xml:space="preserve"> Inputs!G$188</f>
        <v>%</v>
      </c>
    </row>
    <row r="524" spans="3:10" ht="13.95" customHeight="1" x14ac:dyDescent="0.3">
      <c r="F524" s="86" t="str">
        <f xml:space="preserve"> Inputs!E$189</f>
        <v>% van folders dat naar Spotta Utrecht gaat</v>
      </c>
      <c r="G524" s="93">
        <f xml:space="preserve"> Inputs!F$189</f>
        <v>0.5</v>
      </c>
      <c r="H524" s="46" t="str">
        <f xml:space="preserve"> Inputs!G$189</f>
        <v>%</v>
      </c>
    </row>
    <row r="525" spans="3:10" ht="13.95" customHeight="1" x14ac:dyDescent="0.3">
      <c r="F525" s="86" t="str">
        <f xml:space="preserve"> Inputs!E$190</f>
        <v>% van folders dat naar Spotta Eindhoven gaat</v>
      </c>
      <c r="G525" s="93">
        <f xml:space="preserve"> Inputs!F$190</f>
        <v>0.3</v>
      </c>
      <c r="H525" s="46" t="str">
        <f xml:space="preserve"> Inputs!G$190</f>
        <v>%</v>
      </c>
    </row>
    <row r="526" spans="3:10" ht="1.95" customHeight="1" x14ac:dyDescent="0.3">
      <c r="F526" s="43"/>
    </row>
    <row r="527" spans="3:10" ht="13.95" customHeight="1" x14ac:dyDescent="0.3">
      <c r="F527" s="43" t="s">
        <v>957</v>
      </c>
      <c r="G527" s="66">
        <f>SUMPRODUCT(G519:G521,G523:G525)</f>
        <v>104.19999999999999</v>
      </c>
      <c r="H527" t="s">
        <v>12</v>
      </c>
    </row>
    <row r="528" spans="3:10" ht="13.95" customHeight="1" x14ac:dyDescent="0.3">
      <c r="F528" s="43"/>
    </row>
    <row r="529" spans="4:8" ht="13.95" customHeight="1" x14ac:dyDescent="0.3">
      <c r="F529" s="95" t="str">
        <f xml:space="preserve"> F$527</f>
        <v>Gemiddelde afstand ongeadr. + geadr.  van druklocatie -&gt; Spotta verpaklocatie</v>
      </c>
      <c r="G529" s="67">
        <f xml:space="preserve"> G$527</f>
        <v>104.19999999999999</v>
      </c>
      <c r="H529" s="64" t="str">
        <f xml:space="preserve"> H$527</f>
        <v>km</v>
      </c>
    </row>
    <row r="530" spans="4:8" ht="13.95" customHeight="1" x14ac:dyDescent="0.3">
      <c r="F530" s="95" t="str">
        <f xml:space="preserve"> F$508</f>
        <v>Wekelijkse gewicht, ongeadr. + geaddr. + lokaal</v>
      </c>
      <c r="G530" s="67">
        <f xml:space="preserve"> G$508</f>
        <v>19195.2716</v>
      </c>
      <c r="H530" s="64" t="str">
        <f xml:space="preserve"> H$508</f>
        <v>kg / week</v>
      </c>
    </row>
    <row r="531" spans="4:8" ht="13.95" customHeight="1" x14ac:dyDescent="0.3">
      <c r="F531" s="86" t="str">
        <f xml:space="preserve"> Inputs!E$11</f>
        <v>Aantal weken per jaar</v>
      </c>
      <c r="G531" s="46">
        <f xml:space="preserve"> Inputs!F$11</f>
        <v>52</v>
      </c>
      <c r="H531" s="46" t="str">
        <f xml:space="preserve"> Inputs!G$11</f>
        <v>weken / jaar</v>
      </c>
    </row>
    <row r="532" spans="4:8" ht="13.95" customHeight="1" x14ac:dyDescent="0.3">
      <c r="F532" s="86" t="str">
        <f xml:space="preserve"> Inputs!E$14</f>
        <v>Aantal kilo naar ton</v>
      </c>
      <c r="G532" s="46">
        <f xml:space="preserve"> Inputs!F$14</f>
        <v>1000</v>
      </c>
      <c r="H532" s="46" t="str">
        <f xml:space="preserve"> Inputs!G$14</f>
        <v>kilo / ton</v>
      </c>
    </row>
    <row r="533" spans="4:8" ht="1.95" customHeight="1" x14ac:dyDescent="0.3">
      <c r="F533" s="95"/>
      <c r="G533" s="67"/>
      <c r="H533" s="64"/>
    </row>
    <row r="534" spans="4:8" ht="12" customHeight="1" x14ac:dyDescent="0.3">
      <c r="F534" s="95" t="s">
        <v>958</v>
      </c>
      <c r="G534" s="67">
        <f>G529*G530*G531/G532</f>
        <v>104007.65963743998</v>
      </c>
      <c r="H534" s="64" t="s">
        <v>670</v>
      </c>
    </row>
    <row r="535" spans="4:8" ht="12" customHeight="1" x14ac:dyDescent="0.3">
      <c r="F535" s="95"/>
      <c r="G535" s="67"/>
      <c r="H535" s="64"/>
    </row>
    <row r="536" spans="4:8" ht="12" customHeight="1" x14ac:dyDescent="0.3">
      <c r="D536" t="s">
        <v>959</v>
      </c>
      <c r="F536" s="95"/>
      <c r="G536" s="67"/>
      <c r="H536" s="64"/>
    </row>
    <row r="537" spans="4:8" ht="12" customHeight="1" x14ac:dyDescent="0.3">
      <c r="F537" s="64" t="str">
        <f xml:space="preserve"> F$84</f>
        <v>Afstand distributie naar lokaal, truck</v>
      </c>
      <c r="G537" s="97">
        <f xml:space="preserve"> G$84</f>
        <v>140</v>
      </c>
      <c r="H537" s="64" t="str">
        <f xml:space="preserve"> H$84</f>
        <v>km</v>
      </c>
    </row>
    <row r="538" spans="4:8" ht="12" customHeight="1" x14ac:dyDescent="0.3">
      <c r="F538" s="95" t="str">
        <f xml:space="preserve"> F$508</f>
        <v>Wekelijkse gewicht, ongeadr. + geaddr. + lokaal</v>
      </c>
      <c r="G538" s="67">
        <f xml:space="preserve"> G$508</f>
        <v>19195.2716</v>
      </c>
      <c r="H538" s="64" t="str">
        <f xml:space="preserve"> H$508</f>
        <v>kg / week</v>
      </c>
    </row>
    <row r="539" spans="4:8" ht="12" customHeight="1" x14ac:dyDescent="0.3">
      <c r="F539" s="86" t="str">
        <f xml:space="preserve"> Inputs!E$11</f>
        <v>Aantal weken per jaar</v>
      </c>
      <c r="G539" s="46">
        <f xml:space="preserve"> Inputs!F$11</f>
        <v>52</v>
      </c>
      <c r="H539" s="46" t="str">
        <f xml:space="preserve"> Inputs!G$11</f>
        <v>weken / jaar</v>
      </c>
    </row>
    <row r="540" spans="4:8" ht="12" customHeight="1" x14ac:dyDescent="0.3">
      <c r="F540" s="86" t="str">
        <f xml:space="preserve"> F$532</f>
        <v>Aantal kilo naar ton</v>
      </c>
      <c r="G540" s="46">
        <f xml:space="preserve"> G$532</f>
        <v>1000</v>
      </c>
      <c r="H540" s="46" t="str">
        <f xml:space="preserve"> H$532</f>
        <v>kilo / ton</v>
      </c>
    </row>
    <row r="541" spans="4:8" ht="1.95" customHeight="1" x14ac:dyDescent="0.3">
      <c r="F541" s="86"/>
      <c r="G541" s="46"/>
      <c r="H541" s="46"/>
    </row>
    <row r="542" spans="4:8" ht="12" customHeight="1" x14ac:dyDescent="0.3">
      <c r="F542" s="95" t="s">
        <v>960</v>
      </c>
      <c r="G542" s="67">
        <f>G537*G538*G539/G540</f>
        <v>139741.57724800002</v>
      </c>
      <c r="H542" s="64" t="s">
        <v>670</v>
      </c>
    </row>
    <row r="543" spans="4:8" ht="12" customHeight="1" x14ac:dyDescent="0.3">
      <c r="F543" s="64"/>
      <c r="G543" s="97"/>
      <c r="H543" s="64"/>
    </row>
    <row r="544" spans="4:8" ht="12" customHeight="1" x14ac:dyDescent="0.3">
      <c r="D544" t="s">
        <v>961</v>
      </c>
      <c r="F544" s="95"/>
      <c r="G544" s="67"/>
      <c r="H544" s="64"/>
    </row>
    <row r="545" spans="3:10" ht="13.95" customHeight="1" x14ac:dyDescent="0.3">
      <c r="F545" s="64" t="str">
        <f xml:space="preserve"> F$85</f>
        <v>Afstand distributie naar lokaal, busje</v>
      </c>
      <c r="G545" s="97">
        <f xml:space="preserve"> G$85</f>
        <v>1000</v>
      </c>
      <c r="H545" s="64" t="str">
        <f xml:space="preserve"> H$85</f>
        <v>km</v>
      </c>
    </row>
    <row r="546" spans="3:10" ht="13.95" customHeight="1" x14ac:dyDescent="0.3">
      <c r="F546" s="95" t="str">
        <f xml:space="preserve"> F$508</f>
        <v>Wekelijkse gewicht, ongeadr. + geaddr. + lokaal</v>
      </c>
      <c r="G546" s="126">
        <v>1000</v>
      </c>
      <c r="H546" s="64" t="str">
        <f xml:space="preserve"> H$508</f>
        <v>kg / week</v>
      </c>
      <c r="J546" t="s">
        <v>1175</v>
      </c>
    </row>
    <row r="547" spans="3:10" ht="13.95" customHeight="1" x14ac:dyDescent="0.3">
      <c r="F547" s="86" t="str">
        <f xml:space="preserve"> Inputs!E$11</f>
        <v>Aantal weken per jaar</v>
      </c>
      <c r="G547" s="46">
        <f xml:space="preserve"> Inputs!F$11</f>
        <v>52</v>
      </c>
      <c r="H547" s="46" t="str">
        <f xml:space="preserve"> Inputs!G$11</f>
        <v>weken / jaar</v>
      </c>
    </row>
    <row r="548" spans="3:10" ht="13.95" customHeight="1" x14ac:dyDescent="0.3">
      <c r="F548" s="86" t="str">
        <f xml:space="preserve"> Inputs!E$14</f>
        <v>Aantal kilo naar ton</v>
      </c>
      <c r="G548" s="46">
        <f xml:space="preserve"> Inputs!F$14</f>
        <v>1000</v>
      </c>
      <c r="H548" s="46" t="str">
        <f xml:space="preserve"> Inputs!G$14</f>
        <v>kilo / ton</v>
      </c>
    </row>
    <row r="549" spans="3:10" ht="1.95" customHeight="1" x14ac:dyDescent="0.3">
      <c r="F549" s="64"/>
      <c r="G549" s="97"/>
      <c r="H549" s="64"/>
    </row>
    <row r="550" spans="3:10" ht="13.95" customHeight="1" x14ac:dyDescent="0.3">
      <c r="F550" s="95" t="s">
        <v>962</v>
      </c>
      <c r="G550" s="67">
        <f>G545*G546*G547/G548</f>
        <v>52000</v>
      </c>
      <c r="H550" s="64" t="s">
        <v>670</v>
      </c>
    </row>
    <row r="551" spans="3:10" ht="13.95" customHeight="1" x14ac:dyDescent="0.3">
      <c r="F551" s="64"/>
      <c r="G551" s="97"/>
      <c r="H551" s="64"/>
    </row>
    <row r="552" spans="3:10" ht="13.95" customHeight="1" x14ac:dyDescent="0.3">
      <c r="C552" s="57" t="s">
        <v>970</v>
      </c>
      <c r="F552" s="43"/>
    </row>
    <row r="553" spans="3:10" ht="13.95" customHeight="1" x14ac:dyDescent="0.3">
      <c r="D553" t="s">
        <v>680</v>
      </c>
      <c r="F553" s="43"/>
      <c r="J553" t="s">
        <v>955</v>
      </c>
    </row>
    <row r="554" spans="3:10" ht="13.95" customHeight="1" x14ac:dyDescent="0.3">
      <c r="F554" s="86" t="str">
        <f xml:space="preserve"> Inputs!E$198</f>
        <v>Vervoer (vrachtwagen, EURO6, diesel, 16-32 ton), hernieuwbare energie, biomassa</v>
      </c>
      <c r="G554" s="74">
        <f xml:space="preserve"> Inputs!F$198</f>
        <v>1.3207E-2</v>
      </c>
      <c r="H554" s="46" t="str">
        <f xml:space="preserve"> Inputs!G$198</f>
        <v>MJ-eq / tonkm</v>
      </c>
    </row>
    <row r="555" spans="3:10" ht="13.95" customHeight="1" x14ac:dyDescent="0.3">
      <c r="F555" s="86" t="str">
        <f xml:space="preserve"> Inputs!E$199</f>
        <v>Vervoer (vrachtwagen, EURO6, diesel, 16-32 ton), hernieuwbare energie, geothermie</v>
      </c>
      <c r="G555" s="74">
        <f xml:space="preserve"> Inputs!F$199</f>
        <v>4.6069999999999998E-4</v>
      </c>
      <c r="H555" s="46" t="str">
        <f xml:space="preserve"> Inputs!G$199</f>
        <v>MJ-eq / tonkm</v>
      </c>
    </row>
    <row r="556" spans="3:10" ht="13.95" customHeight="1" x14ac:dyDescent="0.3">
      <c r="F556" s="86" t="str">
        <f xml:space="preserve"> Inputs!E$200</f>
        <v>Vervoer (vrachtwagen, EURO6, diesel, 16-32 ton), hernieuwbare energie, zon</v>
      </c>
      <c r="G556" s="74">
        <f xml:space="preserve"> Inputs!F$200</f>
        <v>3.5680999999999999E-4</v>
      </c>
      <c r="H556" s="46" t="str">
        <f xml:space="preserve"> Inputs!G$200</f>
        <v>MJ-eq / tonkm</v>
      </c>
    </row>
    <row r="557" spans="3:10" ht="13.95" customHeight="1" x14ac:dyDescent="0.3">
      <c r="F557" s="86" t="str">
        <f xml:space="preserve"> Inputs!E$201</f>
        <v>Vervoer (vrachtwagen, EURO6, diesel, 16-32 ton), hernieuwbare energie, water</v>
      </c>
      <c r="G557" s="74">
        <f xml:space="preserve"> Inputs!F$201</f>
        <v>1.9185000000000001E-2</v>
      </c>
      <c r="H557" s="46" t="str">
        <f xml:space="preserve"> Inputs!G$201</f>
        <v>MJ-eq / tonkm</v>
      </c>
    </row>
    <row r="558" spans="3:10" ht="13.95" customHeight="1" x14ac:dyDescent="0.3">
      <c r="F558" s="86" t="str">
        <f xml:space="preserve"> Inputs!E$202</f>
        <v>Vervoer (vrachtwagen, EURO6, diesel, 16-32 ton), hernieuwbare energie, wind</v>
      </c>
      <c r="G558" s="74">
        <f xml:space="preserve"> Inputs!F$202</f>
        <v>4.4689999999999999E-3</v>
      </c>
      <c r="H558" s="46" t="str">
        <f xml:space="preserve"> Inputs!G$202</f>
        <v>MJ-eq / tonkm</v>
      </c>
    </row>
    <row r="559" spans="3:10" ht="1.95" customHeight="1" x14ac:dyDescent="0.3">
      <c r="F559" s="86"/>
      <c r="G559" s="74"/>
      <c r="H559" s="46"/>
    </row>
    <row r="560" spans="3:10" ht="13.95" customHeight="1" x14ac:dyDescent="0.3">
      <c r="F560" s="86" t="str">
        <f xml:space="preserve"> Inputs!E$204</f>
        <v>Vervoer (vrachtwagen, EURO6, diesel, 16-32 ton), niet-hernieuwbare energie, fossiel</v>
      </c>
      <c r="G560" s="74">
        <f xml:space="preserve"> Inputs!F$204</f>
        <v>2.5663999999999998</v>
      </c>
      <c r="H560" s="46" t="str">
        <f xml:space="preserve"> Inputs!G$204</f>
        <v>MJ-eq / tonkm</v>
      </c>
    </row>
    <row r="561" spans="6:8" ht="13.95" customHeight="1" x14ac:dyDescent="0.3">
      <c r="F561" s="86" t="str">
        <f xml:space="preserve"> Inputs!E$205</f>
        <v>Vervoer (vrachtwagen, EURO6, diesel, 16-32 ton), niet-hernieuwbare energie, nucleair</v>
      </c>
      <c r="G561" s="74">
        <f xml:space="preserve"> Inputs!F$205</f>
        <v>5.3193999999999998E-2</v>
      </c>
      <c r="H561" s="46" t="str">
        <f xml:space="preserve"> Inputs!G$205</f>
        <v>MJ-eq / tonkm</v>
      </c>
    </row>
    <row r="562" spans="6:8" ht="13.95" customHeight="1" x14ac:dyDescent="0.3">
      <c r="F562" s="86" t="str">
        <f xml:space="preserve"> Inputs!E$206</f>
        <v>Vervoer (vrachtwagen, EURO6, diesel, 16-32 ton), niet-hernieuwbare energie, oerbos</v>
      </c>
      <c r="G562" s="74">
        <f xml:space="preserve"> Inputs!F$206</f>
        <v>6.9455000000000005E-5</v>
      </c>
      <c r="H562" s="46" t="str">
        <f xml:space="preserve"> Inputs!G$206</f>
        <v>MJ-eq / tonkm</v>
      </c>
    </row>
    <row r="563" spans="6:8" ht="1.95" customHeight="1" x14ac:dyDescent="0.3">
      <c r="F563" s="86"/>
      <c r="G563" s="74"/>
      <c r="H563" s="46"/>
    </row>
    <row r="564" spans="6:8" ht="13.95" customHeight="1" x14ac:dyDescent="0.3">
      <c r="F564" s="86" t="str">
        <f xml:space="preserve"> Inputs!E$208</f>
        <v>Vervoer (vrachtwagen, EURO6, diesel, 16-32 ton), water</v>
      </c>
      <c r="G564" s="74">
        <f xml:space="preserve"> Inputs!F$208</f>
        <v>5.0038000000000003E-4</v>
      </c>
      <c r="H564" s="46" t="str">
        <f xml:space="preserve"> Inputs!G$208</f>
        <v>m3 / tonkm</v>
      </c>
    </row>
    <row r="565" spans="6:8" ht="1.95" customHeight="1" x14ac:dyDescent="0.3">
      <c r="F565" s="86"/>
      <c r="G565" s="74"/>
      <c r="H565" s="46"/>
    </row>
    <row r="566" spans="6:8" ht="13.95" customHeight="1" x14ac:dyDescent="0.3">
      <c r="F566" s="86" t="str">
        <f xml:space="preserve"> Inputs!E$210</f>
        <v>Vervoer (vrachtwagen, EURO6, diesel, 16-32 ton), GWP100</v>
      </c>
      <c r="G566" s="74">
        <f xml:space="preserve"> Inputs!F$210</f>
        <v>0.16392999999999999</v>
      </c>
      <c r="H566" s="46" t="str">
        <f xml:space="preserve"> Inputs!G$210</f>
        <v>kg CO2-eq / tonkm</v>
      </c>
    </row>
    <row r="567" spans="6:8" ht="13.95" customHeight="1" x14ac:dyDescent="0.3">
      <c r="F567" s="43"/>
    </row>
    <row r="568" spans="6:8" ht="13.95" customHeight="1" x14ac:dyDescent="0.3">
      <c r="F568" s="68" t="s">
        <v>661</v>
      </c>
      <c r="G568" s="75">
        <f>SUM(G554:G558)</f>
        <v>3.7678509999999998E-2</v>
      </c>
      <c r="H568" s="68" t="s">
        <v>668</v>
      </c>
    </row>
    <row r="569" spans="6:8" ht="13.95" customHeight="1" x14ac:dyDescent="0.3">
      <c r="F569" s="68" t="s">
        <v>662</v>
      </c>
      <c r="G569" s="75">
        <f>SUM(G560:G562)</f>
        <v>2.619663455</v>
      </c>
      <c r="H569" s="68" t="s">
        <v>668</v>
      </c>
    </row>
    <row r="570" spans="6:8" ht="13.95" customHeight="1" x14ac:dyDescent="0.3">
      <c r="F570" s="68" t="s">
        <v>659</v>
      </c>
      <c r="G570" s="75">
        <f>G564</f>
        <v>5.0038000000000003E-4</v>
      </c>
      <c r="H570" s="68" t="s">
        <v>669</v>
      </c>
    </row>
    <row r="571" spans="6:8" ht="13.95" customHeight="1" x14ac:dyDescent="0.3">
      <c r="F571" s="68" t="s">
        <v>660</v>
      </c>
      <c r="G571" s="75">
        <f>G566</f>
        <v>0.16392999999999999</v>
      </c>
      <c r="H571" s="68" t="s">
        <v>33</v>
      </c>
    </row>
    <row r="572" spans="6:8" ht="1.95" customHeight="1" x14ac:dyDescent="0.3">
      <c r="F572" s="43"/>
    </row>
    <row r="573" spans="6:8" ht="13.95" customHeight="1" x14ac:dyDescent="0.3">
      <c r="F573" s="95" t="str">
        <f xml:space="preserve"> F$534</f>
        <v>Tonkilometer ongeadr. + geadr.  normaal Drukker -&gt; Spotta verpaklocatie</v>
      </c>
      <c r="G573" s="67">
        <f xml:space="preserve"> G$534</f>
        <v>104007.65963743998</v>
      </c>
      <c r="H573" s="64" t="str">
        <f xml:space="preserve"> H$534</f>
        <v>tonkilometer / jaar</v>
      </c>
    </row>
    <row r="574" spans="6:8" ht="1.95" customHeight="1" x14ac:dyDescent="0.3">
      <c r="F574" s="43"/>
    </row>
    <row r="575" spans="6:8" ht="13.95" customHeight="1" x14ac:dyDescent="0.3">
      <c r="F575" s="68" t="s">
        <v>683</v>
      </c>
      <c r="G575" s="66">
        <f>G568*$G$573</f>
        <v>3918.8536437258786</v>
      </c>
      <c r="H575" t="s">
        <v>671</v>
      </c>
    </row>
    <row r="576" spans="6:8" ht="13.95" customHeight="1" x14ac:dyDescent="0.3">
      <c r="F576" s="68" t="s">
        <v>684</v>
      </c>
      <c r="G576" s="66">
        <f t="shared" ref="G576:G578" si="15">G569*$G$573</f>
        <v>272465.06499228009</v>
      </c>
      <c r="H576" t="s">
        <v>671</v>
      </c>
    </row>
    <row r="577" spans="4:8" ht="13.95" customHeight="1" x14ac:dyDescent="0.3">
      <c r="F577" s="68" t="s">
        <v>685</v>
      </c>
      <c r="G577" s="66">
        <f t="shared" si="15"/>
        <v>52.043352729382221</v>
      </c>
      <c r="H577" t="s">
        <v>471</v>
      </c>
    </row>
    <row r="578" spans="4:8" ht="13.95" customHeight="1" x14ac:dyDescent="0.3">
      <c r="F578" s="68" t="s">
        <v>686</v>
      </c>
      <c r="G578" s="66">
        <f t="shared" si="15"/>
        <v>17049.975644365535</v>
      </c>
      <c r="H578" t="s">
        <v>672</v>
      </c>
    </row>
    <row r="579" spans="4:8" ht="13.95" customHeight="1" x14ac:dyDescent="0.3"/>
    <row r="580" spans="4:8" ht="13.95" customHeight="1" x14ac:dyDescent="0.3">
      <c r="D580" t="s">
        <v>681</v>
      </c>
    </row>
    <row r="581" spans="4:8" ht="13.95" customHeight="1" x14ac:dyDescent="0.3">
      <c r="F581" s="46" t="str">
        <f xml:space="preserve"> Inputs!E$216</f>
        <v>Vervoer 3-asser met 20-25 ton, EURO5, hernieuwbare energie, biomassa</v>
      </c>
      <c r="G581" s="74">
        <f xml:space="preserve"> Inputs!F$216</f>
        <v>1.3242E-2</v>
      </c>
      <c r="H581" s="46" t="str">
        <f xml:space="preserve"> Inputs!G$216</f>
        <v>MJ-eq / tonkm</v>
      </c>
    </row>
    <row r="582" spans="4:8" ht="13.95" customHeight="1" x14ac:dyDescent="0.3">
      <c r="F582" s="46" t="str">
        <f xml:space="preserve"> Inputs!E$217</f>
        <v>Vervoer 3-asser met 20-25 ton, EURO5, hernieuwbare energie, geothermie</v>
      </c>
      <c r="G582" s="74">
        <f xml:space="preserve"> Inputs!F$217</f>
        <v>4.6232000000000001E-4</v>
      </c>
      <c r="H582" s="46" t="str">
        <f xml:space="preserve"> Inputs!G$217</f>
        <v>MJ-eq / tonkm</v>
      </c>
    </row>
    <row r="583" spans="4:8" ht="13.95" customHeight="1" x14ac:dyDescent="0.3">
      <c r="F583" s="46" t="str">
        <f xml:space="preserve"> Inputs!E$218</f>
        <v>Vervoer 3-asser met 20-25 ton, EURO5, hernieuwbare energie, zon</v>
      </c>
      <c r="G583" s="74">
        <f xml:space="preserve"> Inputs!F$218</f>
        <v>3.5806999999999999E-4</v>
      </c>
      <c r="H583" s="46" t="str">
        <f xml:space="preserve"> Inputs!G$218</f>
        <v>MJ-eq / tonkm</v>
      </c>
    </row>
    <row r="584" spans="4:8" ht="13.95" customHeight="1" x14ac:dyDescent="0.3">
      <c r="F584" s="46" t="str">
        <f xml:space="preserve"> Inputs!E$219</f>
        <v>Vervoer 3-asser met 20-25 ton, EURO5, hernieuwbare energie, water</v>
      </c>
      <c r="G584" s="74">
        <f xml:space="preserve"> Inputs!F$219</f>
        <v>1.9251999999999998E-2</v>
      </c>
      <c r="H584" s="46" t="str">
        <f xml:space="preserve"> Inputs!G$219</f>
        <v>MJ-eq / tonkm</v>
      </c>
    </row>
    <row r="585" spans="4:8" ht="13.95" customHeight="1" x14ac:dyDescent="0.3">
      <c r="F585" s="46" t="str">
        <f xml:space="preserve"> Inputs!E$220</f>
        <v>Vervoer 3-asser met 20-25 ton, EURO5, hernieuwbare energie, wind</v>
      </c>
      <c r="G585" s="74">
        <f xml:space="preserve"> Inputs!F$220</f>
        <v>4.4833E-3</v>
      </c>
      <c r="H585" s="46" t="str">
        <f xml:space="preserve"> Inputs!G$220</f>
        <v>MJ-eq / tonkm</v>
      </c>
    </row>
    <row r="586" spans="4:8" ht="1.95" customHeight="1" x14ac:dyDescent="0.3">
      <c r="F586" s="46"/>
      <c r="G586" s="74"/>
      <c r="H586" s="46"/>
    </row>
    <row r="587" spans="4:8" ht="13.95" customHeight="1" x14ac:dyDescent="0.3">
      <c r="F587" s="46" t="str">
        <f xml:space="preserve"> Inputs!E$222</f>
        <v>Vervoer 3-asser met 20-25 ton, EURO5, niet-hernieuwbare energie, fossiel</v>
      </c>
      <c r="G587" s="74">
        <f xml:space="preserve"> Inputs!F$222</f>
        <v>2.6126</v>
      </c>
      <c r="H587" s="46" t="str">
        <f xml:space="preserve"> Inputs!G$222</f>
        <v>MJ-eq / tonkm</v>
      </c>
    </row>
    <row r="588" spans="4:8" ht="13.95" customHeight="1" x14ac:dyDescent="0.3">
      <c r="F588" s="46" t="str">
        <f xml:space="preserve"> Inputs!E$223</f>
        <v>Vervoer 3-asser met 20-25 ton, EURO5, niet-hernieuwbare energie, nucleair</v>
      </c>
      <c r="G588" s="74">
        <f xml:space="preserve"> Inputs!F$223</f>
        <v>5.3363000000000001E-2</v>
      </c>
      <c r="H588" s="46" t="str">
        <f xml:space="preserve"> Inputs!G$223</f>
        <v>MJ-eq / tonkm</v>
      </c>
    </row>
    <row r="589" spans="4:8" ht="13.95" customHeight="1" x14ac:dyDescent="0.3">
      <c r="F589" s="46" t="str">
        <f xml:space="preserve"> Inputs!E$224</f>
        <v>Vervoer 3-asser met 20-25 ton, EURO5, niet-hernieuwbare energie, oerbos</v>
      </c>
      <c r="G589" s="74">
        <f xml:space="preserve"> Inputs!F$224</f>
        <v>6.9583000000000001E-5</v>
      </c>
      <c r="H589" s="46" t="str">
        <f xml:space="preserve"> Inputs!G$224</f>
        <v>MJ-eq / tonkm</v>
      </c>
    </row>
    <row r="590" spans="4:8" ht="1.95" customHeight="1" x14ac:dyDescent="0.3">
      <c r="F590" s="46"/>
      <c r="G590" s="74"/>
      <c r="H590" s="46"/>
    </row>
    <row r="591" spans="4:8" ht="13.95" customHeight="1" x14ac:dyDescent="0.3">
      <c r="F591" s="46" t="str">
        <f xml:space="preserve"> Inputs!E$226</f>
        <v>Vervoer 3-asser met 20-25 ton, EURO5, water</v>
      </c>
      <c r="G591" s="74">
        <f xml:space="preserve"> Inputs!F$226</f>
        <v>5.0416000000000002E-4</v>
      </c>
      <c r="H591" s="46" t="str">
        <f xml:space="preserve"> Inputs!G$226</f>
        <v>m3 / tonkm</v>
      </c>
    </row>
    <row r="592" spans="4:8" ht="1.95" customHeight="1" x14ac:dyDescent="0.3">
      <c r="F592" s="46"/>
      <c r="G592" s="74"/>
      <c r="H592" s="46"/>
    </row>
    <row r="593" spans="4:8" ht="13.95" customHeight="1" x14ac:dyDescent="0.3">
      <c r="F593" s="46" t="str">
        <f xml:space="preserve"> Inputs!E$228</f>
        <v>Vervoer 3-asser met 20-25 ton, EURO5, GWP100</v>
      </c>
      <c r="G593" s="74">
        <f xml:space="preserve"> Inputs!F$228</f>
        <v>0.16743</v>
      </c>
      <c r="H593" s="46" t="str">
        <f xml:space="preserve"> Inputs!G$228</f>
        <v>kg CO2-eq / tonkm</v>
      </c>
    </row>
    <row r="594" spans="4:8" ht="13.95" customHeight="1" x14ac:dyDescent="0.3"/>
    <row r="595" spans="4:8" ht="13.95" customHeight="1" x14ac:dyDescent="0.3">
      <c r="F595" s="68" t="s">
        <v>1562</v>
      </c>
      <c r="G595" s="75">
        <f>SUM(G581:G585)</f>
        <v>3.7797690000000002E-2</v>
      </c>
      <c r="H595" s="68" t="s">
        <v>668</v>
      </c>
    </row>
    <row r="596" spans="4:8" ht="13.95" customHeight="1" x14ac:dyDescent="0.3">
      <c r="F596" s="68" t="s">
        <v>1563</v>
      </c>
      <c r="G596" s="75">
        <f>SUM(G587:G589)</f>
        <v>2.6660325830000002</v>
      </c>
      <c r="H596" s="68" t="s">
        <v>668</v>
      </c>
    </row>
    <row r="597" spans="4:8" ht="13.95" customHeight="1" x14ac:dyDescent="0.3">
      <c r="F597" s="68" t="s">
        <v>1564</v>
      </c>
      <c r="G597" s="75">
        <f>G591</f>
        <v>5.0416000000000002E-4</v>
      </c>
      <c r="H597" s="68" t="s">
        <v>669</v>
      </c>
    </row>
    <row r="598" spans="4:8" ht="13.95" customHeight="1" x14ac:dyDescent="0.3">
      <c r="F598" s="68" t="s">
        <v>1565</v>
      </c>
      <c r="G598" s="75">
        <f>G593</f>
        <v>0.16743</v>
      </c>
      <c r="H598" s="68" t="s">
        <v>33</v>
      </c>
    </row>
    <row r="599" spans="4:8" ht="1.95" customHeight="1" x14ac:dyDescent="0.3"/>
    <row r="600" spans="4:8" ht="13.95" customHeight="1" x14ac:dyDescent="0.3">
      <c r="F600" s="64" t="str">
        <f xml:space="preserve"> F$542</f>
        <v>Tonkilometer ongeadr. + geadr.  normaal Spotta verpaklocatie -&gt; lokaal (truck)</v>
      </c>
      <c r="G600" s="67">
        <f xml:space="preserve"> G$542</f>
        <v>139741.57724800002</v>
      </c>
      <c r="H600" s="64" t="str">
        <f xml:space="preserve"> H$542</f>
        <v>tonkilometer / jaar</v>
      </c>
    </row>
    <row r="601" spans="4:8" ht="1.95" customHeight="1" x14ac:dyDescent="0.3"/>
    <row r="602" spans="4:8" ht="13.95" customHeight="1" x14ac:dyDescent="0.3">
      <c r="F602" s="68" t="s">
        <v>687</v>
      </c>
      <c r="G602" s="66">
        <f>G595*$G$600</f>
        <v>5281.908816930958</v>
      </c>
      <c r="H602" t="s">
        <v>671</v>
      </c>
    </row>
    <row r="603" spans="4:8" ht="13.95" customHeight="1" x14ac:dyDescent="0.3">
      <c r="F603" s="68" t="s">
        <v>688</v>
      </c>
      <c r="G603" s="66">
        <f t="shared" ref="G603:G605" si="16">G596*$G$600</f>
        <v>372555.59814297955</v>
      </c>
      <c r="H603" t="s">
        <v>671</v>
      </c>
    </row>
    <row r="604" spans="4:8" ht="13.95" customHeight="1" x14ac:dyDescent="0.3">
      <c r="F604" s="68" t="s">
        <v>689</v>
      </c>
      <c r="G604" s="66">
        <f t="shared" si="16"/>
        <v>70.452113585351697</v>
      </c>
      <c r="H604" t="s">
        <v>471</v>
      </c>
    </row>
    <row r="605" spans="4:8" ht="13.95" customHeight="1" x14ac:dyDescent="0.3">
      <c r="F605" s="68" t="s">
        <v>690</v>
      </c>
      <c r="G605" s="66">
        <f t="shared" si="16"/>
        <v>23396.932278632641</v>
      </c>
      <c r="H605" t="s">
        <v>672</v>
      </c>
    </row>
    <row r="606" spans="4:8" ht="13.95" customHeight="1" x14ac:dyDescent="0.3"/>
    <row r="607" spans="4:8" ht="13.95" customHeight="1" x14ac:dyDescent="0.3">
      <c r="D607" t="s">
        <v>682</v>
      </c>
    </row>
    <row r="608" spans="4:8" ht="13.95" customHeight="1" x14ac:dyDescent="0.3">
      <c r="F608" s="46" t="str">
        <f xml:space="preserve"> Inputs!E$245</f>
        <v>Vervoer, klein vervoer busje, hernieuwbare energie, biomassa</v>
      </c>
      <c r="G608" s="74">
        <f xml:space="preserve"> Inputs!F$245</f>
        <v>0.2263</v>
      </c>
      <c r="H608" s="46" t="str">
        <f xml:space="preserve"> Inputs!G$245</f>
        <v>MJ-eq / tonkm</v>
      </c>
    </row>
    <row r="609" spans="6:8" ht="13.95" customHeight="1" x14ac:dyDescent="0.3">
      <c r="F609" s="46" t="str">
        <f xml:space="preserve"> Inputs!E$246</f>
        <v>Vervoer, klein vervoer busje, hernieuwbare energie, geothermie</v>
      </c>
      <c r="G609" s="74">
        <f xml:space="preserve"> Inputs!F$246</f>
        <v>1.0767000000000001E-2</v>
      </c>
      <c r="H609" s="46" t="str">
        <f xml:space="preserve"> Inputs!G$246</f>
        <v>MJ-eq / tonkm</v>
      </c>
    </row>
    <row r="610" spans="6:8" ht="13.95" customHeight="1" x14ac:dyDescent="0.3">
      <c r="F610" s="46" t="str">
        <f xml:space="preserve"> Inputs!E$247</f>
        <v>Vervoer, klein vervoer busje, hernieuwbare energie, zon</v>
      </c>
      <c r="G610" s="74">
        <f xml:space="preserve"> Inputs!F$247</f>
        <v>4.0924000000000002E-2</v>
      </c>
      <c r="H610" s="46" t="str">
        <f xml:space="preserve"> Inputs!G$247</f>
        <v>MJ-eq / tonkm</v>
      </c>
    </row>
    <row r="611" spans="6:8" ht="13.95" customHeight="1" x14ac:dyDescent="0.3">
      <c r="F611" s="46" t="str">
        <f xml:space="preserve"> Inputs!E$248</f>
        <v>Vervoer, klein vervoer busje, hernieuwbare energie, water</v>
      </c>
      <c r="G611" s="74">
        <f xml:space="preserve"> Inputs!F$248</f>
        <v>0.39716000000000001</v>
      </c>
      <c r="H611" s="46" t="str">
        <f xml:space="preserve"> Inputs!G$248</f>
        <v>MJ-eq / tonkm</v>
      </c>
    </row>
    <row r="612" spans="6:8" ht="13.95" customHeight="1" x14ac:dyDescent="0.3">
      <c r="F612" s="46" t="str">
        <f xml:space="preserve"> Inputs!E$249</f>
        <v>Vervoer, klein vervoer busje, hernieuwbare energie, wind</v>
      </c>
      <c r="G612" s="74">
        <f xml:space="preserve"> Inputs!F$249</f>
        <v>0.12751999999999999</v>
      </c>
      <c r="H612" s="46" t="str">
        <f xml:space="preserve"> Inputs!G$249</f>
        <v>MJ-eq / tonkm</v>
      </c>
    </row>
    <row r="613" spans="6:8" ht="1.95" customHeight="1" x14ac:dyDescent="0.3">
      <c r="F613" s="46"/>
      <c r="G613" s="74"/>
      <c r="H613" s="46"/>
    </row>
    <row r="614" spans="6:8" ht="13.95" customHeight="1" x14ac:dyDescent="0.3">
      <c r="F614" s="46" t="str">
        <f xml:space="preserve"> Inputs!E$251</f>
        <v>Vervoer, klein vervoer busje, niet-hernieuwbare energie, fossiel</v>
      </c>
      <c r="G614" s="74">
        <f xml:space="preserve"> Inputs!F$251</f>
        <v>28.030999999999999</v>
      </c>
      <c r="H614" s="46" t="str">
        <f xml:space="preserve"> Inputs!G$251</f>
        <v>MJ-eq / tonkm</v>
      </c>
    </row>
    <row r="615" spans="6:8" ht="13.95" customHeight="1" x14ac:dyDescent="0.3">
      <c r="F615" s="46" t="str">
        <f xml:space="preserve"> Inputs!E$252</f>
        <v>Vervoer, klein vervoer busje, niet-hernieuwbare energie, nucleair</v>
      </c>
      <c r="G615" s="74">
        <f xml:space="preserve"> Inputs!F$252</f>
        <v>1.4738</v>
      </c>
      <c r="H615" s="46" t="str">
        <f xml:space="preserve"> Inputs!G$252</f>
        <v>MJ-eq / tonkm</v>
      </c>
    </row>
    <row r="616" spans="6:8" ht="13.95" customHeight="1" x14ac:dyDescent="0.3">
      <c r="F616" s="46" t="str">
        <f xml:space="preserve"> Inputs!E$253</f>
        <v>Vervoer, klein vervoer busje, niet-hernieuwbare energie, oerbos</v>
      </c>
      <c r="G616" s="74">
        <f xml:space="preserve"> Inputs!F$253</f>
        <v>1.4758E-3</v>
      </c>
      <c r="H616" s="46" t="str">
        <f xml:space="preserve"> Inputs!G$253</f>
        <v>MJ-eq / tonkm</v>
      </c>
    </row>
    <row r="617" spans="6:8" ht="1.95" customHeight="1" x14ac:dyDescent="0.3">
      <c r="F617" s="46"/>
      <c r="G617" s="74"/>
      <c r="H617" s="46"/>
    </row>
    <row r="618" spans="6:8" ht="13.95" customHeight="1" x14ac:dyDescent="0.3">
      <c r="F618" s="46" t="str">
        <f xml:space="preserve"> Inputs!E$255</f>
        <v>Vervoer, klein vervoer busje, water</v>
      </c>
      <c r="G618" s="74">
        <f xml:space="preserve"> Inputs!F$255</f>
        <v>6.0022000000000001E-3</v>
      </c>
      <c r="H618" s="46" t="str">
        <f xml:space="preserve"> Inputs!G$255</f>
        <v>m3 / tonkm</v>
      </c>
    </row>
    <row r="619" spans="6:8" ht="1.95" customHeight="1" x14ac:dyDescent="0.3">
      <c r="F619" s="46"/>
      <c r="G619" s="74"/>
      <c r="H619" s="46"/>
    </row>
    <row r="620" spans="6:8" ht="13.95" customHeight="1" x14ac:dyDescent="0.3">
      <c r="F620" s="46" t="str">
        <f xml:space="preserve"> Inputs!E$257</f>
        <v>Vervoer, klein vervoer busje, GWP100</v>
      </c>
      <c r="G620" s="74">
        <f xml:space="preserve"> Inputs!F$257</f>
        <v>1.9014</v>
      </c>
      <c r="H620" s="46" t="str">
        <f xml:space="preserve"> Inputs!G$257</f>
        <v>kg CO2-eq / tonkm</v>
      </c>
    </row>
    <row r="621" spans="6:8" ht="13.95" customHeight="1" x14ac:dyDescent="0.3"/>
    <row r="622" spans="6:8" ht="13.95" customHeight="1" x14ac:dyDescent="0.3">
      <c r="F622" s="68" t="s">
        <v>950</v>
      </c>
      <c r="G622" s="75">
        <f>SUM(G608:G612)</f>
        <v>0.80267100000000002</v>
      </c>
      <c r="H622" s="68" t="s">
        <v>668</v>
      </c>
    </row>
    <row r="623" spans="6:8" ht="13.95" customHeight="1" x14ac:dyDescent="0.3">
      <c r="F623" s="68" t="s">
        <v>951</v>
      </c>
      <c r="G623" s="75">
        <f>SUM(G614:G616)</f>
        <v>29.506275800000001</v>
      </c>
      <c r="H623" s="68" t="s">
        <v>668</v>
      </c>
    </row>
    <row r="624" spans="6:8" ht="13.95" customHeight="1" x14ac:dyDescent="0.3">
      <c r="F624" s="68" t="s">
        <v>952</v>
      </c>
      <c r="G624" s="75">
        <f>G618</f>
        <v>6.0022000000000001E-3</v>
      </c>
      <c r="H624" s="68" t="s">
        <v>669</v>
      </c>
    </row>
    <row r="625" spans="4:8" ht="13.95" customHeight="1" x14ac:dyDescent="0.3">
      <c r="F625" s="68" t="s">
        <v>953</v>
      </c>
      <c r="G625" s="75">
        <f>G620</f>
        <v>1.9014</v>
      </c>
      <c r="H625" s="68" t="s">
        <v>33</v>
      </c>
    </row>
    <row r="626" spans="4:8" ht="1.95" customHeight="1" x14ac:dyDescent="0.3"/>
    <row r="627" spans="4:8" ht="13.95" customHeight="1" x14ac:dyDescent="0.3">
      <c r="F627" s="95" t="str">
        <f xml:space="preserve"> F$550</f>
        <v>Tonkilometer ongeadr. + geadr.  normaal Spotta verpaklocatie -&gt; lokaal (busje)</v>
      </c>
      <c r="G627" s="67">
        <f xml:space="preserve"> G$550</f>
        <v>52000</v>
      </c>
      <c r="H627" s="64" t="str">
        <f xml:space="preserve"> H$550</f>
        <v>tonkilometer / jaar</v>
      </c>
    </row>
    <row r="628" spans="4:8" ht="1.95" customHeight="1" x14ac:dyDescent="0.3"/>
    <row r="629" spans="4:8" ht="13.95" customHeight="1" x14ac:dyDescent="0.3">
      <c r="F629" s="68" t="s">
        <v>691</v>
      </c>
      <c r="G629" s="66">
        <f>G622*$G$627</f>
        <v>41738.892</v>
      </c>
      <c r="H629" t="s">
        <v>671</v>
      </c>
    </row>
    <row r="630" spans="4:8" ht="13.95" customHeight="1" x14ac:dyDescent="0.3">
      <c r="F630" s="68" t="s">
        <v>990</v>
      </c>
      <c r="G630" s="66">
        <f t="shared" ref="G630:G632" si="17">G623*$G$627</f>
        <v>1534326.3416000002</v>
      </c>
      <c r="H630" t="s">
        <v>671</v>
      </c>
    </row>
    <row r="631" spans="4:8" ht="13.95" customHeight="1" x14ac:dyDescent="0.3">
      <c r="F631" s="68" t="s">
        <v>991</v>
      </c>
      <c r="G631" s="66">
        <f t="shared" si="17"/>
        <v>312.11439999999999</v>
      </c>
      <c r="H631" t="s">
        <v>471</v>
      </c>
    </row>
    <row r="632" spans="4:8" ht="13.95" customHeight="1" x14ac:dyDescent="0.3">
      <c r="F632" s="68" t="s">
        <v>992</v>
      </c>
      <c r="G632" s="66">
        <f t="shared" si="17"/>
        <v>98872.8</v>
      </c>
      <c r="H632" t="s">
        <v>672</v>
      </c>
    </row>
    <row r="633" spans="4:8" ht="13.95" customHeight="1" x14ac:dyDescent="0.3"/>
    <row r="634" spans="4:8" ht="13.95" customHeight="1" x14ac:dyDescent="0.3">
      <c r="D634" t="s">
        <v>954</v>
      </c>
    </row>
    <row r="635" spans="4:8" ht="13.95" customHeight="1" x14ac:dyDescent="0.3">
      <c r="F635" s="64" t="str">
        <f xml:space="preserve"> F$575</f>
        <v>Impact vervoer ong. recl. normaal, Drukker -&gt; Spotta verpaklocatie, hernieuwbare energie</v>
      </c>
      <c r="G635" s="67">
        <f xml:space="preserve"> G$575</f>
        <v>3918.8536437258786</v>
      </c>
      <c r="H635" s="64" t="str">
        <f xml:space="preserve"> H$575</f>
        <v>MJ-eq</v>
      </c>
    </row>
    <row r="636" spans="4:8" ht="13.95" customHeight="1" x14ac:dyDescent="0.3">
      <c r="F636" s="64" t="str">
        <f xml:space="preserve"> F$576</f>
        <v>Impact vervoer ong. recl. normaal, Drukker -&gt; Spotta verpaklocatie, niet-hernieuwbare energie</v>
      </c>
      <c r="G636" s="67">
        <f xml:space="preserve"> G$576</f>
        <v>272465.06499228009</v>
      </c>
      <c r="H636" s="64" t="str">
        <f xml:space="preserve"> H$576</f>
        <v>MJ-eq</v>
      </c>
    </row>
    <row r="637" spans="4:8" ht="13.95" customHeight="1" x14ac:dyDescent="0.3">
      <c r="F637" s="64" t="str">
        <f xml:space="preserve"> F$577</f>
        <v>Impact vervoer ong. recl. normaal, Drukker -&gt; Spotta verpaklocatie, water</v>
      </c>
      <c r="G637" s="67">
        <f xml:space="preserve"> G$577</f>
        <v>52.043352729382221</v>
      </c>
      <c r="H637" s="64" t="str">
        <f xml:space="preserve"> H$577</f>
        <v>m3</v>
      </c>
    </row>
    <row r="638" spans="4:8" ht="13.95" customHeight="1" x14ac:dyDescent="0.3">
      <c r="F638" s="64" t="str">
        <f xml:space="preserve"> F$578</f>
        <v>Impact vervoer ong. recl. normaal, Drukker -&gt; Spotta verpaklocatie, GWP100</v>
      </c>
      <c r="G638" s="67">
        <f xml:space="preserve"> G$578</f>
        <v>17049.975644365535</v>
      </c>
      <c r="H638" s="64" t="str">
        <f xml:space="preserve"> H$578</f>
        <v>kg CO2-eq</v>
      </c>
    </row>
    <row r="639" spans="4:8" ht="1.95" customHeight="1" x14ac:dyDescent="0.3"/>
    <row r="640" spans="4:8" ht="13.95" customHeight="1" x14ac:dyDescent="0.3">
      <c r="F640" s="64" t="str">
        <f xml:space="preserve"> F$602</f>
        <v>Impact vervoer, ong. recl. normaal, Spotta -&gt; lokaal (truck), hernieuwbare energie</v>
      </c>
      <c r="G640" s="67">
        <f xml:space="preserve"> G$602</f>
        <v>5281.908816930958</v>
      </c>
      <c r="H640" s="64" t="str">
        <f xml:space="preserve"> H$602</f>
        <v>MJ-eq</v>
      </c>
    </row>
    <row r="641" spans="3:10" ht="13.95" customHeight="1" x14ac:dyDescent="0.3">
      <c r="F641" s="64" t="str">
        <f xml:space="preserve"> F$603</f>
        <v>Impact vervoer, ong. recl. normaal, Spotta -&gt; lokaal (truck), niet-hernieuwbare energie</v>
      </c>
      <c r="G641" s="67">
        <f xml:space="preserve"> G$603</f>
        <v>372555.59814297955</v>
      </c>
      <c r="H641" s="64" t="str">
        <f xml:space="preserve"> H$603</f>
        <v>MJ-eq</v>
      </c>
    </row>
    <row r="642" spans="3:10" ht="13.95" customHeight="1" x14ac:dyDescent="0.3">
      <c r="F642" s="64" t="str">
        <f xml:space="preserve"> F$604</f>
        <v>Impact vervoer,ong. recl. normaal, Spotta -&gt; lokaal (truck), water</v>
      </c>
      <c r="G642" s="67">
        <f xml:space="preserve"> G$604</f>
        <v>70.452113585351697</v>
      </c>
      <c r="H642" s="64" t="str">
        <f xml:space="preserve"> H$604</f>
        <v>m3</v>
      </c>
    </row>
    <row r="643" spans="3:10" ht="13.95" customHeight="1" x14ac:dyDescent="0.3">
      <c r="F643" s="64" t="str">
        <f xml:space="preserve"> F$605</f>
        <v>Impact vervoer, ong. recl. normaal, Spotta -&gt; lokaal (truck), GWP100</v>
      </c>
      <c r="G643" s="67">
        <f xml:space="preserve"> G$605</f>
        <v>23396.932278632641</v>
      </c>
      <c r="H643" s="64" t="str">
        <f xml:space="preserve"> H$605</f>
        <v>kg CO2-eq</v>
      </c>
    </row>
    <row r="644" spans="3:10" ht="1.95" customHeight="1" x14ac:dyDescent="0.3"/>
    <row r="645" spans="3:10" ht="13.95" customHeight="1" x14ac:dyDescent="0.3">
      <c r="F645" s="64" t="str">
        <f xml:space="preserve"> F$629</f>
        <v>Impact vervoer,ong. recl. normaal, Spotta -&gt; lokaal (busje), hernieuwbare energie</v>
      </c>
      <c r="G645" s="67">
        <f xml:space="preserve"> G$629</f>
        <v>41738.892</v>
      </c>
      <c r="H645" s="64" t="str">
        <f xml:space="preserve"> H$629</f>
        <v>MJ-eq</v>
      </c>
    </row>
    <row r="646" spans="3:10" ht="13.95" customHeight="1" x14ac:dyDescent="0.3">
      <c r="F646" s="64" t="str">
        <f xml:space="preserve"> F$630</f>
        <v>Impact vervoer,ong. recl. normaal, Spotta -&gt; lokaal (busje), niet-hernieuwbare energie</v>
      </c>
      <c r="G646" s="67">
        <f xml:space="preserve"> G$630</f>
        <v>1534326.3416000002</v>
      </c>
      <c r="H646" s="64" t="str">
        <f xml:space="preserve"> H$630</f>
        <v>MJ-eq</v>
      </c>
    </row>
    <row r="647" spans="3:10" ht="13.95" customHeight="1" x14ac:dyDescent="0.3">
      <c r="F647" s="64" t="str">
        <f xml:space="preserve"> F$631</f>
        <v>Impact vervoer,ong. recl. normaal, Spotta -&gt; lokaal (busje), water</v>
      </c>
      <c r="G647" s="67">
        <f xml:space="preserve"> G$631</f>
        <v>312.11439999999999</v>
      </c>
      <c r="H647" s="64" t="str">
        <f xml:space="preserve"> H$631</f>
        <v>m3</v>
      </c>
    </row>
    <row r="648" spans="3:10" ht="13.95" customHeight="1" x14ac:dyDescent="0.3">
      <c r="F648" s="64" t="str">
        <f xml:space="preserve"> F$632</f>
        <v>Impact vervoer,ong. recl. normaal, Spotta -&gt; lokaal (busje), GWP100</v>
      </c>
      <c r="G648" s="67">
        <f xml:space="preserve"> G$632</f>
        <v>98872.8</v>
      </c>
      <c r="H648" s="64" t="str">
        <f xml:space="preserve"> H$632</f>
        <v>kg CO2-eq</v>
      </c>
    </row>
    <row r="649" spans="3:10" ht="1.95" customHeight="1" x14ac:dyDescent="0.3"/>
    <row r="650" spans="3:10" ht="13.95" customHeight="1" x14ac:dyDescent="0.3">
      <c r="F650" s="81" t="s">
        <v>983</v>
      </c>
      <c r="G650" s="101">
        <f>G635+G640+G645</f>
        <v>50939.654460656835</v>
      </c>
      <c r="H650" s="64" t="str">
        <f xml:space="preserve"> H$629</f>
        <v>MJ-eq</v>
      </c>
    </row>
    <row r="651" spans="3:10" ht="13.95" customHeight="1" x14ac:dyDescent="0.3">
      <c r="F651" s="81" t="s">
        <v>987</v>
      </c>
      <c r="G651" s="101">
        <f t="shared" ref="G651:G653" si="18">G636+G641+G646</f>
        <v>2179347.0047352598</v>
      </c>
      <c r="H651" s="64" t="str">
        <f xml:space="preserve"> H$630</f>
        <v>MJ-eq</v>
      </c>
    </row>
    <row r="652" spans="3:10" ht="13.95" customHeight="1" x14ac:dyDescent="0.3">
      <c r="F652" s="81" t="s">
        <v>988</v>
      </c>
      <c r="G652" s="101">
        <f t="shared" si="18"/>
        <v>434.60986631473389</v>
      </c>
      <c r="H652" s="64" t="str">
        <f xml:space="preserve"> H$631</f>
        <v>m3</v>
      </c>
    </row>
    <row r="653" spans="3:10" ht="13.95" customHeight="1" x14ac:dyDescent="0.3">
      <c r="F653" s="81" t="s">
        <v>989</v>
      </c>
      <c r="G653" s="101">
        <f t="shared" si="18"/>
        <v>139319.70792299818</v>
      </c>
      <c r="H653" s="64" t="str">
        <f xml:space="preserve"> H$632</f>
        <v>kg CO2-eq</v>
      </c>
    </row>
    <row r="654" spans="3:10" ht="13.95" customHeight="1" x14ac:dyDescent="0.3"/>
    <row r="655" spans="3:10" ht="13.95" customHeight="1" x14ac:dyDescent="0.3">
      <c r="C655" s="57" t="s">
        <v>971</v>
      </c>
    </row>
    <row r="656" spans="3:10" ht="13.95" customHeight="1" x14ac:dyDescent="0.3">
      <c r="D656" t="s">
        <v>963</v>
      </c>
      <c r="J656" t="s">
        <v>978</v>
      </c>
    </row>
    <row r="657" spans="4:10" ht="13.95" customHeight="1" x14ac:dyDescent="0.3">
      <c r="F657" s="46" t="str">
        <f xml:space="preserve"> Inputs!E$186</f>
        <v>Afstand druklocatie HAH -&gt; Gemeente</v>
      </c>
      <c r="G657" s="46">
        <f xml:space="preserve"> Inputs!F$186</f>
        <v>50</v>
      </c>
      <c r="H657" s="46" t="str">
        <f xml:space="preserve"> Inputs!G$186</f>
        <v>km</v>
      </c>
    </row>
    <row r="658" spans="4:10" ht="1.95" customHeight="1" x14ac:dyDescent="0.3">
      <c r="F658" s="107"/>
      <c r="G658" s="59"/>
      <c r="H658" s="59"/>
    </row>
    <row r="659" spans="4:10" ht="13.95" customHeight="1" x14ac:dyDescent="0.3">
      <c r="F659" s="95" t="str">
        <f xml:space="preserve"> F$657</f>
        <v>Afstand druklocatie HAH -&gt; Gemeente</v>
      </c>
      <c r="G659" s="67">
        <f xml:space="preserve"> G$657</f>
        <v>50</v>
      </c>
      <c r="H659" s="64" t="str">
        <f xml:space="preserve"> H$657</f>
        <v>km</v>
      </c>
    </row>
    <row r="660" spans="4:10" ht="13.95" customHeight="1" x14ac:dyDescent="0.3">
      <c r="F660" s="95" t="str">
        <f xml:space="preserve"> F$515</f>
        <v>Wekelijkse gewicht, huis-aan-huis</v>
      </c>
      <c r="G660" s="67">
        <f xml:space="preserve"> G$515</f>
        <v>3315</v>
      </c>
      <c r="H660" s="64" t="str">
        <f xml:space="preserve"> H$515</f>
        <v>kg / week</v>
      </c>
    </row>
    <row r="661" spans="4:10" ht="13.95" customHeight="1" x14ac:dyDescent="0.3">
      <c r="F661" s="86" t="str">
        <f xml:space="preserve"> Inputs!E$11</f>
        <v>Aantal weken per jaar</v>
      </c>
      <c r="G661" s="46">
        <f xml:space="preserve"> Inputs!F$11</f>
        <v>52</v>
      </c>
      <c r="H661" s="46" t="str">
        <f xml:space="preserve"> Inputs!G$11</f>
        <v>weken / jaar</v>
      </c>
    </row>
    <row r="662" spans="4:10" ht="13.95" customHeight="1" x14ac:dyDescent="0.3">
      <c r="F662" s="86" t="str">
        <f xml:space="preserve"> Inputs!E$14</f>
        <v>Aantal kilo naar ton</v>
      </c>
      <c r="G662" s="46">
        <f xml:space="preserve"> Inputs!F$14</f>
        <v>1000</v>
      </c>
      <c r="H662" s="46" t="str">
        <f xml:space="preserve"> Inputs!G$14</f>
        <v>kilo / ton</v>
      </c>
    </row>
    <row r="663" spans="4:10" ht="1.95" customHeight="1" x14ac:dyDescent="0.3">
      <c r="F663" s="109"/>
      <c r="G663" s="108"/>
      <c r="H663" s="58"/>
    </row>
    <row r="664" spans="4:10" ht="13.95" customHeight="1" x14ac:dyDescent="0.3">
      <c r="F664" s="112" t="s">
        <v>973</v>
      </c>
      <c r="G664" s="73">
        <f>G659*G660*G661/G662</f>
        <v>8619</v>
      </c>
      <c r="H664" s="68" t="s">
        <v>670</v>
      </c>
    </row>
    <row r="665" spans="4:10" ht="13.95" customHeight="1" x14ac:dyDescent="0.3">
      <c r="F665" s="109"/>
      <c r="G665" s="108"/>
      <c r="H665" s="58"/>
    </row>
    <row r="666" spans="4:10" ht="13.95" customHeight="1" x14ac:dyDescent="0.3">
      <c r="D666" t="s">
        <v>980</v>
      </c>
      <c r="F666" s="109"/>
      <c r="G666" s="108"/>
      <c r="H666" s="58"/>
    </row>
    <row r="667" spans="4:10" ht="13.95" customHeight="1" x14ac:dyDescent="0.3">
      <c r="F667" s="68" t="str">
        <f xml:space="preserve"> F$85</f>
        <v>Afstand distributie naar lokaal, busje</v>
      </c>
      <c r="G667" s="113">
        <f xml:space="preserve"> G$85</f>
        <v>1000</v>
      </c>
      <c r="H667" s="68" t="str">
        <f xml:space="preserve"> H$85</f>
        <v>km</v>
      </c>
    </row>
    <row r="668" spans="4:10" ht="13.95" customHeight="1" x14ac:dyDescent="0.3">
      <c r="F668" s="95" t="str">
        <f xml:space="preserve"> F$515</f>
        <v>Wekelijkse gewicht, huis-aan-huis</v>
      </c>
      <c r="G668" s="67">
        <v>1000</v>
      </c>
      <c r="H668" s="64" t="str">
        <f xml:space="preserve"> H$515</f>
        <v>kg / week</v>
      </c>
      <c r="J668" t="s">
        <v>1175</v>
      </c>
    </row>
    <row r="669" spans="4:10" ht="13.95" customHeight="1" x14ac:dyDescent="0.3">
      <c r="F669" s="86" t="str">
        <f xml:space="preserve"> Inputs!E$11</f>
        <v>Aantal weken per jaar</v>
      </c>
      <c r="G669" s="46">
        <f xml:space="preserve"> Inputs!F$11</f>
        <v>52</v>
      </c>
      <c r="H669" s="46" t="str">
        <f xml:space="preserve"> Inputs!G$11</f>
        <v>weken / jaar</v>
      </c>
    </row>
    <row r="670" spans="4:10" ht="13.95" customHeight="1" x14ac:dyDescent="0.3">
      <c r="F670" s="86" t="str">
        <f xml:space="preserve"> Inputs!E$14</f>
        <v>Aantal kilo naar ton</v>
      </c>
      <c r="G670" s="46">
        <f xml:space="preserve"> Inputs!F$14</f>
        <v>1000</v>
      </c>
      <c r="H670" s="46" t="str">
        <f xml:space="preserve"> Inputs!G$14</f>
        <v>kilo / ton</v>
      </c>
    </row>
    <row r="671" spans="4:10" ht="1.95" customHeight="1" x14ac:dyDescent="0.3">
      <c r="F671" s="58"/>
      <c r="G671" s="110"/>
      <c r="H671" s="58"/>
    </row>
    <row r="672" spans="4:10" ht="13.95" customHeight="1" x14ac:dyDescent="0.3">
      <c r="F672" s="112" t="s">
        <v>972</v>
      </c>
      <c r="G672" s="73">
        <f>G667*G668*G669/G670</f>
        <v>52000</v>
      </c>
      <c r="H672" s="68" t="s">
        <v>670</v>
      </c>
    </row>
    <row r="673" spans="3:8" ht="13.95" customHeight="1" x14ac:dyDescent="0.3">
      <c r="F673" s="58"/>
      <c r="G673" s="110"/>
      <c r="H673" s="58"/>
    </row>
    <row r="674" spans="3:8" ht="13.95" customHeight="1" x14ac:dyDescent="0.3">
      <c r="C674" s="57" t="s">
        <v>982</v>
      </c>
      <c r="F674" s="107"/>
      <c r="G674" s="59"/>
      <c r="H674" s="59"/>
    </row>
    <row r="675" spans="3:8" ht="13.95" customHeight="1" x14ac:dyDescent="0.3">
      <c r="D675" t="s">
        <v>963</v>
      </c>
      <c r="F675" s="107"/>
      <c r="G675" s="59"/>
      <c r="H675" s="59"/>
    </row>
    <row r="676" spans="3:8" ht="13.95" customHeight="1" x14ac:dyDescent="0.3">
      <c r="F676" s="86" t="str">
        <f xml:space="preserve"> Inputs!E$198</f>
        <v>Vervoer (vrachtwagen, EURO6, diesel, 16-32 ton), hernieuwbare energie, biomassa</v>
      </c>
      <c r="G676" s="74">
        <f xml:space="preserve"> Inputs!F$198</f>
        <v>1.3207E-2</v>
      </c>
      <c r="H676" s="46" t="str">
        <f xml:space="preserve"> Inputs!G$198</f>
        <v>MJ-eq / tonkm</v>
      </c>
    </row>
    <row r="677" spans="3:8" ht="13.95" customHeight="1" x14ac:dyDescent="0.3">
      <c r="F677" s="86" t="str">
        <f xml:space="preserve"> Inputs!E$199</f>
        <v>Vervoer (vrachtwagen, EURO6, diesel, 16-32 ton), hernieuwbare energie, geothermie</v>
      </c>
      <c r="G677" s="74">
        <f xml:space="preserve"> Inputs!F$199</f>
        <v>4.6069999999999998E-4</v>
      </c>
      <c r="H677" s="46" t="str">
        <f xml:space="preserve"> Inputs!G$199</f>
        <v>MJ-eq / tonkm</v>
      </c>
    </row>
    <row r="678" spans="3:8" ht="13.95" customHeight="1" x14ac:dyDescent="0.3">
      <c r="F678" s="86" t="str">
        <f xml:space="preserve"> Inputs!E$200</f>
        <v>Vervoer (vrachtwagen, EURO6, diesel, 16-32 ton), hernieuwbare energie, zon</v>
      </c>
      <c r="G678" s="74">
        <f xml:space="preserve"> Inputs!F$200</f>
        <v>3.5680999999999999E-4</v>
      </c>
      <c r="H678" s="46" t="str">
        <f xml:space="preserve"> Inputs!G$200</f>
        <v>MJ-eq / tonkm</v>
      </c>
    </row>
    <row r="679" spans="3:8" ht="13.95" customHeight="1" x14ac:dyDescent="0.3">
      <c r="F679" s="86" t="str">
        <f xml:space="preserve"> Inputs!E$201</f>
        <v>Vervoer (vrachtwagen, EURO6, diesel, 16-32 ton), hernieuwbare energie, water</v>
      </c>
      <c r="G679" s="74">
        <f xml:space="preserve"> Inputs!F$201</f>
        <v>1.9185000000000001E-2</v>
      </c>
      <c r="H679" s="46" t="str">
        <f xml:space="preserve"> Inputs!G$201</f>
        <v>MJ-eq / tonkm</v>
      </c>
    </row>
    <row r="680" spans="3:8" ht="13.95" customHeight="1" x14ac:dyDescent="0.3">
      <c r="F680" s="86" t="str">
        <f xml:space="preserve"> Inputs!E$202</f>
        <v>Vervoer (vrachtwagen, EURO6, diesel, 16-32 ton), hernieuwbare energie, wind</v>
      </c>
      <c r="G680" s="74">
        <f xml:space="preserve"> Inputs!F$202</f>
        <v>4.4689999999999999E-3</v>
      </c>
      <c r="H680" s="46" t="str">
        <f xml:space="preserve"> Inputs!G$202</f>
        <v>MJ-eq / tonkm</v>
      </c>
    </row>
    <row r="681" spans="3:8" ht="1.95" customHeight="1" x14ac:dyDescent="0.3">
      <c r="F681" s="86"/>
      <c r="G681" s="74"/>
      <c r="H681" s="46"/>
    </row>
    <row r="682" spans="3:8" ht="13.95" customHeight="1" x14ac:dyDescent="0.3">
      <c r="F682" s="86" t="str">
        <f xml:space="preserve"> Inputs!E$204</f>
        <v>Vervoer (vrachtwagen, EURO6, diesel, 16-32 ton), niet-hernieuwbare energie, fossiel</v>
      </c>
      <c r="G682" s="74">
        <f xml:space="preserve"> Inputs!F$204</f>
        <v>2.5663999999999998</v>
      </c>
      <c r="H682" s="46" t="str">
        <f xml:space="preserve"> Inputs!G$204</f>
        <v>MJ-eq / tonkm</v>
      </c>
    </row>
    <row r="683" spans="3:8" ht="13.95" customHeight="1" x14ac:dyDescent="0.3">
      <c r="F683" s="86" t="str">
        <f xml:space="preserve"> Inputs!E$205</f>
        <v>Vervoer (vrachtwagen, EURO6, diesel, 16-32 ton), niet-hernieuwbare energie, nucleair</v>
      </c>
      <c r="G683" s="74">
        <f xml:space="preserve"> Inputs!F$205</f>
        <v>5.3193999999999998E-2</v>
      </c>
      <c r="H683" s="46" t="str">
        <f xml:space="preserve"> Inputs!G$205</f>
        <v>MJ-eq / tonkm</v>
      </c>
    </row>
    <row r="684" spans="3:8" ht="13.95" customHeight="1" x14ac:dyDescent="0.3">
      <c r="F684" s="86" t="str">
        <f xml:space="preserve"> Inputs!E$206</f>
        <v>Vervoer (vrachtwagen, EURO6, diesel, 16-32 ton), niet-hernieuwbare energie, oerbos</v>
      </c>
      <c r="G684" s="74">
        <f xml:space="preserve"> Inputs!F$206</f>
        <v>6.9455000000000005E-5</v>
      </c>
      <c r="H684" s="46" t="str">
        <f xml:space="preserve"> Inputs!G$206</f>
        <v>MJ-eq / tonkm</v>
      </c>
    </row>
    <row r="685" spans="3:8" ht="1.95" customHeight="1" x14ac:dyDescent="0.3">
      <c r="F685" s="86"/>
      <c r="G685" s="74"/>
      <c r="H685" s="46"/>
    </row>
    <row r="686" spans="3:8" ht="13.95" customHeight="1" x14ac:dyDescent="0.3">
      <c r="F686" s="86" t="str">
        <f xml:space="preserve"> Inputs!E$208</f>
        <v>Vervoer (vrachtwagen, EURO6, diesel, 16-32 ton), water</v>
      </c>
      <c r="G686" s="74">
        <f xml:space="preserve"> Inputs!F$208</f>
        <v>5.0038000000000003E-4</v>
      </c>
      <c r="H686" s="46" t="str">
        <f xml:space="preserve"> Inputs!G$208</f>
        <v>m3 / tonkm</v>
      </c>
    </row>
    <row r="687" spans="3:8" ht="1.95" customHeight="1" x14ac:dyDescent="0.3">
      <c r="F687" s="86"/>
      <c r="G687" s="74"/>
      <c r="H687" s="46"/>
    </row>
    <row r="688" spans="3:8" ht="13.95" customHeight="1" x14ac:dyDescent="0.3">
      <c r="F688" s="86" t="str">
        <f xml:space="preserve"> Inputs!E$210</f>
        <v>Vervoer (vrachtwagen, EURO6, diesel, 16-32 ton), GWP100</v>
      </c>
      <c r="G688" s="74">
        <f xml:space="preserve"> Inputs!F$210</f>
        <v>0.16392999999999999</v>
      </c>
      <c r="H688" s="46" t="str">
        <f xml:space="preserve"> Inputs!G$210</f>
        <v>kg CO2-eq / tonkm</v>
      </c>
    </row>
    <row r="689" spans="4:8" ht="13.95" customHeight="1" x14ac:dyDescent="0.3">
      <c r="F689" s="107"/>
      <c r="G689" s="59"/>
      <c r="H689" s="59"/>
    </row>
    <row r="690" spans="4:8" ht="13.95" customHeight="1" x14ac:dyDescent="0.3">
      <c r="F690" s="68" t="s">
        <v>661</v>
      </c>
      <c r="G690" s="75">
        <f>SUM(G676:G680)</f>
        <v>3.7678509999999998E-2</v>
      </c>
      <c r="H690" s="68" t="s">
        <v>668</v>
      </c>
    </row>
    <row r="691" spans="4:8" ht="13.95" customHeight="1" x14ac:dyDescent="0.3">
      <c r="F691" s="68" t="s">
        <v>662</v>
      </c>
      <c r="G691" s="75">
        <f>SUM(G682:G684)</f>
        <v>2.619663455</v>
      </c>
      <c r="H691" s="68" t="s">
        <v>668</v>
      </c>
    </row>
    <row r="692" spans="4:8" ht="13.95" customHeight="1" x14ac:dyDescent="0.3">
      <c r="F692" s="68" t="s">
        <v>659</v>
      </c>
      <c r="G692" s="75">
        <f>G686</f>
        <v>5.0038000000000003E-4</v>
      </c>
      <c r="H692" s="68" t="s">
        <v>669</v>
      </c>
    </row>
    <row r="693" spans="4:8" ht="13.95" customHeight="1" x14ac:dyDescent="0.3">
      <c r="F693" s="68" t="s">
        <v>660</v>
      </c>
      <c r="G693" s="75">
        <f>G688</f>
        <v>0.16392999999999999</v>
      </c>
      <c r="H693" s="68" t="s">
        <v>33</v>
      </c>
    </row>
    <row r="694" spans="4:8" ht="1.95" customHeight="1" x14ac:dyDescent="0.3">
      <c r="F694" s="107"/>
      <c r="G694" s="59"/>
      <c r="H694" s="59"/>
    </row>
    <row r="695" spans="4:8" ht="13.95" customHeight="1" x14ac:dyDescent="0.3">
      <c r="F695" s="95" t="str">
        <f xml:space="preserve"> F$664</f>
        <v>Tonkilometer HAH Drukker -&gt; verpaklocatie</v>
      </c>
      <c r="G695" s="67">
        <f xml:space="preserve"> G$664</f>
        <v>8619</v>
      </c>
      <c r="H695" s="64" t="str">
        <f xml:space="preserve"> H$664</f>
        <v>tonkilometer / jaar</v>
      </c>
    </row>
    <row r="696" spans="4:8" ht="1.95" customHeight="1" x14ac:dyDescent="0.3">
      <c r="F696" s="107"/>
      <c r="G696" s="59"/>
      <c r="H696" s="59"/>
    </row>
    <row r="697" spans="4:8" ht="13.95" customHeight="1" x14ac:dyDescent="0.3">
      <c r="F697" s="68" t="s">
        <v>974</v>
      </c>
      <c r="G697" s="73">
        <f>G690*$G$695</f>
        <v>324.75107768999999</v>
      </c>
      <c r="H697" s="80" t="s">
        <v>671</v>
      </c>
    </row>
    <row r="698" spans="4:8" ht="13.95" customHeight="1" x14ac:dyDescent="0.3">
      <c r="F698" s="68" t="s">
        <v>975</v>
      </c>
      <c r="G698" s="73">
        <f t="shared" ref="G698:G700" si="19">G691*$G$695</f>
        <v>22578.879318644998</v>
      </c>
      <c r="H698" s="80" t="s">
        <v>671</v>
      </c>
    </row>
    <row r="699" spans="4:8" ht="13.95" customHeight="1" x14ac:dyDescent="0.3">
      <c r="F699" s="68" t="s">
        <v>976</v>
      </c>
      <c r="G699" s="73">
        <f t="shared" si="19"/>
        <v>4.3127752200000007</v>
      </c>
      <c r="H699" s="80" t="s">
        <v>471</v>
      </c>
    </row>
    <row r="700" spans="4:8" ht="13.95" customHeight="1" x14ac:dyDescent="0.3">
      <c r="F700" s="68" t="s">
        <v>977</v>
      </c>
      <c r="G700" s="73">
        <f t="shared" si="19"/>
        <v>1412.9126699999999</v>
      </c>
      <c r="H700" s="80" t="s">
        <v>672</v>
      </c>
    </row>
    <row r="701" spans="4:8" ht="13.95" customHeight="1" x14ac:dyDescent="0.3">
      <c r="F701" s="59"/>
      <c r="G701" s="59"/>
      <c r="H701" s="59"/>
    </row>
    <row r="702" spans="4:8" ht="13.95" customHeight="1" x14ac:dyDescent="0.3">
      <c r="D702" t="s">
        <v>980</v>
      </c>
      <c r="F702" s="59"/>
      <c r="G702" s="59"/>
      <c r="H702" s="59"/>
    </row>
    <row r="703" spans="4:8" ht="13.95" customHeight="1" x14ac:dyDescent="0.3">
      <c r="F703" s="46" t="str">
        <f xml:space="preserve"> Inputs!E$245</f>
        <v>Vervoer, klein vervoer busje, hernieuwbare energie, biomassa</v>
      </c>
      <c r="G703" s="74">
        <f xml:space="preserve"> Inputs!F$245</f>
        <v>0.2263</v>
      </c>
      <c r="H703" s="46" t="str">
        <f xml:space="preserve"> Inputs!G$245</f>
        <v>MJ-eq / tonkm</v>
      </c>
    </row>
    <row r="704" spans="4:8" ht="13.95" customHeight="1" x14ac:dyDescent="0.3">
      <c r="F704" s="46" t="str">
        <f xml:space="preserve"> Inputs!E$246</f>
        <v>Vervoer, klein vervoer busje, hernieuwbare energie, geothermie</v>
      </c>
      <c r="G704" s="74">
        <f xml:space="preserve"> Inputs!F$246</f>
        <v>1.0767000000000001E-2</v>
      </c>
      <c r="H704" s="46" t="str">
        <f xml:space="preserve"> Inputs!G$246</f>
        <v>MJ-eq / tonkm</v>
      </c>
    </row>
    <row r="705" spans="6:8" ht="13.95" customHeight="1" x14ac:dyDescent="0.3">
      <c r="F705" s="46" t="str">
        <f xml:space="preserve"> Inputs!E$247</f>
        <v>Vervoer, klein vervoer busje, hernieuwbare energie, zon</v>
      </c>
      <c r="G705" s="74">
        <f xml:space="preserve"> Inputs!F$247</f>
        <v>4.0924000000000002E-2</v>
      </c>
      <c r="H705" s="46" t="str">
        <f xml:space="preserve"> Inputs!G$247</f>
        <v>MJ-eq / tonkm</v>
      </c>
    </row>
    <row r="706" spans="6:8" ht="13.95" customHeight="1" x14ac:dyDescent="0.3">
      <c r="F706" s="46" t="str">
        <f xml:space="preserve"> Inputs!E$248</f>
        <v>Vervoer, klein vervoer busje, hernieuwbare energie, water</v>
      </c>
      <c r="G706" s="74">
        <f xml:space="preserve"> Inputs!F$248</f>
        <v>0.39716000000000001</v>
      </c>
      <c r="H706" s="46" t="str">
        <f xml:space="preserve"> Inputs!G$248</f>
        <v>MJ-eq / tonkm</v>
      </c>
    </row>
    <row r="707" spans="6:8" ht="13.95" customHeight="1" x14ac:dyDescent="0.3">
      <c r="F707" s="46" t="str">
        <f xml:space="preserve"> Inputs!E$249</f>
        <v>Vervoer, klein vervoer busje, hernieuwbare energie, wind</v>
      </c>
      <c r="G707" s="74">
        <f xml:space="preserve"> Inputs!F$249</f>
        <v>0.12751999999999999</v>
      </c>
      <c r="H707" s="46" t="str">
        <f xml:space="preserve"> Inputs!G$249</f>
        <v>MJ-eq / tonkm</v>
      </c>
    </row>
    <row r="708" spans="6:8" ht="1.95" customHeight="1" x14ac:dyDescent="0.3">
      <c r="F708" s="46"/>
      <c r="G708" s="74"/>
      <c r="H708" s="46"/>
    </row>
    <row r="709" spans="6:8" ht="13.95" customHeight="1" x14ac:dyDescent="0.3">
      <c r="F709" s="46" t="str">
        <f xml:space="preserve"> Inputs!E$251</f>
        <v>Vervoer, klein vervoer busje, niet-hernieuwbare energie, fossiel</v>
      </c>
      <c r="G709" s="74">
        <f xml:space="preserve"> Inputs!F$251</f>
        <v>28.030999999999999</v>
      </c>
      <c r="H709" s="46" t="str">
        <f xml:space="preserve"> Inputs!G$251</f>
        <v>MJ-eq / tonkm</v>
      </c>
    </row>
    <row r="710" spans="6:8" ht="13.95" customHeight="1" x14ac:dyDescent="0.3">
      <c r="F710" s="46" t="str">
        <f xml:space="preserve"> Inputs!E$252</f>
        <v>Vervoer, klein vervoer busje, niet-hernieuwbare energie, nucleair</v>
      </c>
      <c r="G710" s="74">
        <f xml:space="preserve"> Inputs!F$252</f>
        <v>1.4738</v>
      </c>
      <c r="H710" s="46" t="str">
        <f xml:space="preserve"> Inputs!G$252</f>
        <v>MJ-eq / tonkm</v>
      </c>
    </row>
    <row r="711" spans="6:8" ht="13.95" customHeight="1" x14ac:dyDescent="0.3">
      <c r="F711" s="46" t="str">
        <f xml:space="preserve"> Inputs!E$253</f>
        <v>Vervoer, klein vervoer busje, niet-hernieuwbare energie, oerbos</v>
      </c>
      <c r="G711" s="74">
        <f xml:space="preserve"> Inputs!F$253</f>
        <v>1.4758E-3</v>
      </c>
      <c r="H711" s="46" t="str">
        <f xml:space="preserve"> Inputs!G$253</f>
        <v>MJ-eq / tonkm</v>
      </c>
    </row>
    <row r="712" spans="6:8" ht="1.95" customHeight="1" x14ac:dyDescent="0.3">
      <c r="F712" s="46"/>
      <c r="G712" s="74"/>
      <c r="H712" s="46"/>
    </row>
    <row r="713" spans="6:8" ht="13.95" customHeight="1" x14ac:dyDescent="0.3">
      <c r="F713" s="46" t="str">
        <f xml:space="preserve"> Inputs!E$255</f>
        <v>Vervoer, klein vervoer busje, water</v>
      </c>
      <c r="G713" s="74">
        <f xml:space="preserve"> Inputs!F$255</f>
        <v>6.0022000000000001E-3</v>
      </c>
      <c r="H713" s="46" t="str">
        <f xml:space="preserve"> Inputs!G$255</f>
        <v>m3 / tonkm</v>
      </c>
    </row>
    <row r="714" spans="6:8" ht="1.95" customHeight="1" x14ac:dyDescent="0.3">
      <c r="F714" s="46"/>
      <c r="G714" s="74"/>
      <c r="H714" s="46"/>
    </row>
    <row r="715" spans="6:8" ht="13.95" customHeight="1" x14ac:dyDescent="0.3">
      <c r="F715" s="46" t="str">
        <f xml:space="preserve"> Inputs!E$257</f>
        <v>Vervoer, klein vervoer busje, GWP100</v>
      </c>
      <c r="G715" s="74">
        <f xml:space="preserve"> Inputs!F$257</f>
        <v>1.9014</v>
      </c>
      <c r="H715" s="46" t="str">
        <f xml:space="preserve"> Inputs!G$257</f>
        <v>kg CO2-eq / tonkm</v>
      </c>
    </row>
    <row r="716" spans="6:8" ht="13.95" customHeight="1" x14ac:dyDescent="0.3">
      <c r="F716" s="46"/>
      <c r="G716" s="74"/>
      <c r="H716" s="46"/>
    </row>
    <row r="717" spans="6:8" ht="13.95" customHeight="1" x14ac:dyDescent="0.3">
      <c r="F717" s="68" t="s">
        <v>950</v>
      </c>
      <c r="G717" s="75">
        <f>SUM(G703:G707)</f>
        <v>0.80267100000000002</v>
      </c>
      <c r="H717" s="68" t="s">
        <v>668</v>
      </c>
    </row>
    <row r="718" spans="6:8" ht="13.95" customHeight="1" x14ac:dyDescent="0.3">
      <c r="F718" s="68" t="s">
        <v>951</v>
      </c>
      <c r="G718" s="75">
        <f>SUM(G709:G711)</f>
        <v>29.506275800000001</v>
      </c>
      <c r="H718" s="68" t="s">
        <v>668</v>
      </c>
    </row>
    <row r="719" spans="6:8" ht="13.95" customHeight="1" x14ac:dyDescent="0.3">
      <c r="F719" s="68" t="s">
        <v>952</v>
      </c>
      <c r="G719" s="75">
        <f>G713</f>
        <v>6.0022000000000001E-3</v>
      </c>
      <c r="H719" s="68" t="s">
        <v>669</v>
      </c>
    </row>
    <row r="720" spans="6:8" ht="13.95" customHeight="1" x14ac:dyDescent="0.3">
      <c r="F720" s="68" t="s">
        <v>953</v>
      </c>
      <c r="G720" s="75">
        <f>G715</f>
        <v>1.9014</v>
      </c>
      <c r="H720" s="68" t="s">
        <v>33</v>
      </c>
    </row>
    <row r="721" spans="4:8" ht="1.95" customHeight="1" x14ac:dyDescent="0.3">
      <c r="F721" s="59"/>
      <c r="G721" s="59"/>
      <c r="H721" s="59"/>
    </row>
    <row r="722" spans="4:8" ht="13.95" customHeight="1" x14ac:dyDescent="0.3">
      <c r="F722" s="95" t="str">
        <f xml:space="preserve"> F$672</f>
        <v>Tonkilometer HAH verpaklocatie -&gt; lokaal (busje)</v>
      </c>
      <c r="G722" s="67">
        <f xml:space="preserve"> G$672</f>
        <v>52000</v>
      </c>
      <c r="H722" s="64" t="str">
        <f xml:space="preserve"> H$672</f>
        <v>tonkilometer / jaar</v>
      </c>
    </row>
    <row r="723" spans="4:8" ht="1.95" customHeight="1" x14ac:dyDescent="0.3">
      <c r="F723" s="59"/>
      <c r="G723" s="59"/>
      <c r="H723" s="59"/>
    </row>
    <row r="724" spans="4:8" ht="13.95" customHeight="1" x14ac:dyDescent="0.3">
      <c r="F724" s="68" t="s">
        <v>979</v>
      </c>
      <c r="G724" s="73">
        <f>G717*$G$722</f>
        <v>41738.892</v>
      </c>
      <c r="H724" s="80" t="s">
        <v>671</v>
      </c>
    </row>
    <row r="725" spans="4:8" ht="13.95" customHeight="1" x14ac:dyDescent="0.3">
      <c r="F725" s="68" t="s">
        <v>984</v>
      </c>
      <c r="G725" s="73">
        <f t="shared" ref="G725:G727" si="20">G718*$G$722</f>
        <v>1534326.3416000002</v>
      </c>
      <c r="H725" s="80" t="s">
        <v>671</v>
      </c>
    </row>
    <row r="726" spans="4:8" ht="13.95" customHeight="1" x14ac:dyDescent="0.3">
      <c r="F726" s="68" t="s">
        <v>985</v>
      </c>
      <c r="G726" s="73">
        <f t="shared" si="20"/>
        <v>312.11439999999999</v>
      </c>
      <c r="H726" s="80" t="s">
        <v>471</v>
      </c>
    </row>
    <row r="727" spans="4:8" ht="13.95" customHeight="1" x14ac:dyDescent="0.3">
      <c r="F727" s="68" t="s">
        <v>986</v>
      </c>
      <c r="G727" s="73">
        <f t="shared" si="20"/>
        <v>98872.8</v>
      </c>
      <c r="H727" s="80" t="s">
        <v>672</v>
      </c>
    </row>
    <row r="728" spans="4:8" ht="13.95" customHeight="1" x14ac:dyDescent="0.3">
      <c r="F728" s="59"/>
      <c r="G728" s="59"/>
      <c r="H728" s="59"/>
    </row>
    <row r="729" spans="4:8" ht="13.95" customHeight="1" x14ac:dyDescent="0.3">
      <c r="D729" t="s">
        <v>981</v>
      </c>
      <c r="F729" s="59"/>
      <c r="G729" s="59"/>
      <c r="H729" s="59"/>
    </row>
    <row r="730" spans="4:8" ht="13.95" customHeight="1" x14ac:dyDescent="0.3">
      <c r="F730" s="64" t="str">
        <f xml:space="preserve"> F$697</f>
        <v>Impact vervoer HAH, Drukker -&gt; verpaklocatie, hernieuwbare energie</v>
      </c>
      <c r="G730" s="67">
        <f xml:space="preserve"> G$697</f>
        <v>324.75107768999999</v>
      </c>
      <c r="H730" s="64" t="str">
        <f xml:space="preserve"> H$697</f>
        <v>MJ-eq</v>
      </c>
    </row>
    <row r="731" spans="4:8" ht="13.95" customHeight="1" x14ac:dyDescent="0.3">
      <c r="F731" s="64" t="str">
        <f xml:space="preserve"> F$698</f>
        <v>Impact vervoer HAH, Drukker -&gt; verpaklocatie, niet-hernieuwbare energie</v>
      </c>
      <c r="G731" s="67">
        <f xml:space="preserve"> G$698</f>
        <v>22578.879318644998</v>
      </c>
      <c r="H731" s="64" t="str">
        <f xml:space="preserve"> H$698</f>
        <v>MJ-eq</v>
      </c>
    </row>
    <row r="732" spans="4:8" ht="13.95" customHeight="1" x14ac:dyDescent="0.3">
      <c r="F732" s="64" t="str">
        <f xml:space="preserve"> F$699</f>
        <v>Impact vervoer HAH, Drukker -&gt; verpaklocatie, water</v>
      </c>
      <c r="G732" s="67">
        <f xml:space="preserve"> G$699</f>
        <v>4.3127752200000007</v>
      </c>
      <c r="H732" s="64" t="str">
        <f xml:space="preserve"> H$699</f>
        <v>m3</v>
      </c>
    </row>
    <row r="733" spans="4:8" ht="13.95" customHeight="1" x14ac:dyDescent="0.3">
      <c r="F733" s="64" t="str">
        <f xml:space="preserve"> F$700</f>
        <v>Impact vervoer HAH, Drukker -&gt; verpaklocatie, GWP100</v>
      </c>
      <c r="G733" s="67">
        <f xml:space="preserve"> G$700</f>
        <v>1412.9126699999999</v>
      </c>
      <c r="H733" s="64" t="str">
        <f xml:space="preserve"> H$700</f>
        <v>kg CO2-eq</v>
      </c>
    </row>
    <row r="734" spans="4:8" ht="1.95" customHeight="1" x14ac:dyDescent="0.3">
      <c r="F734" s="59"/>
      <c r="G734" s="59"/>
      <c r="H734" s="59"/>
    </row>
    <row r="735" spans="4:8" ht="13.95" customHeight="1" x14ac:dyDescent="0.3">
      <c r="F735" s="64" t="str">
        <f xml:space="preserve"> F$724</f>
        <v>Impact vervoer,HAH verpaklocatie -&gt; lokaal (busje), hernieuwbare energie</v>
      </c>
      <c r="G735" s="67">
        <f xml:space="preserve"> G$724</f>
        <v>41738.892</v>
      </c>
      <c r="H735" s="64" t="str">
        <f xml:space="preserve"> H$724</f>
        <v>MJ-eq</v>
      </c>
    </row>
    <row r="736" spans="4:8" ht="13.95" customHeight="1" x14ac:dyDescent="0.3">
      <c r="F736" s="64" t="str">
        <f xml:space="preserve"> F$725</f>
        <v>Impact vervoer,HAH verpaklocatie -&gt; lokaal (busje), niet-hernieuwbare energie</v>
      </c>
      <c r="G736" s="67">
        <f xml:space="preserve"> G$725</f>
        <v>1534326.3416000002</v>
      </c>
      <c r="H736" s="64" t="str">
        <f xml:space="preserve"> H$725</f>
        <v>MJ-eq</v>
      </c>
    </row>
    <row r="737" spans="2:10" ht="13.95" customHeight="1" x14ac:dyDescent="0.3">
      <c r="F737" s="64" t="str">
        <f xml:space="preserve"> F$726</f>
        <v>Impact vervoer,HAH verpaklocatie -&gt; lokaal (busje), water</v>
      </c>
      <c r="G737" s="67">
        <f xml:space="preserve"> G$726</f>
        <v>312.11439999999999</v>
      </c>
      <c r="H737" s="64" t="str">
        <f xml:space="preserve"> H$726</f>
        <v>m3</v>
      </c>
    </row>
    <row r="738" spans="2:10" ht="13.95" customHeight="1" x14ac:dyDescent="0.3">
      <c r="F738" s="64" t="str">
        <f xml:space="preserve"> F$727</f>
        <v>Impact vervoer,HAH verpaklocatie -&gt; lokaal (busje), GWP100</v>
      </c>
      <c r="G738" s="67">
        <f xml:space="preserve"> G$727</f>
        <v>98872.8</v>
      </c>
      <c r="H738" s="64" t="str">
        <f xml:space="preserve"> H$727</f>
        <v>kg CO2-eq</v>
      </c>
    </row>
    <row r="739" spans="2:10" ht="1.95" customHeight="1" x14ac:dyDescent="0.3">
      <c r="F739" s="59"/>
      <c r="G739" s="59"/>
      <c r="H739" s="59"/>
    </row>
    <row r="740" spans="2:10" ht="13.95" customHeight="1" x14ac:dyDescent="0.3">
      <c r="F740" s="80" t="s">
        <v>1106</v>
      </c>
      <c r="G740" s="89">
        <f>G730+G735</f>
        <v>42063.643077690002</v>
      </c>
      <c r="H740" s="68" t="str">
        <f xml:space="preserve"> H$629</f>
        <v>MJ-eq</v>
      </c>
    </row>
    <row r="741" spans="2:10" ht="13.95" customHeight="1" x14ac:dyDescent="0.3">
      <c r="F741" s="80" t="s">
        <v>1107</v>
      </c>
      <c r="G741" s="89">
        <f>G731+G736</f>
        <v>1556905.2209186452</v>
      </c>
      <c r="H741" s="68" t="str">
        <f xml:space="preserve"> H$630</f>
        <v>MJ-eq</v>
      </c>
    </row>
    <row r="742" spans="2:10" ht="13.95" customHeight="1" x14ac:dyDescent="0.3">
      <c r="F742" s="80" t="s">
        <v>1108</v>
      </c>
      <c r="G742" s="89">
        <f>G732+G737</f>
        <v>316.42717521999998</v>
      </c>
      <c r="H742" s="68" t="str">
        <f xml:space="preserve"> H$631</f>
        <v>m3</v>
      </c>
    </row>
    <row r="743" spans="2:10" ht="13.95" customHeight="1" x14ac:dyDescent="0.3">
      <c r="F743" s="80" t="s">
        <v>1109</v>
      </c>
      <c r="G743" s="89">
        <f>G733+G738</f>
        <v>100285.71267000001</v>
      </c>
      <c r="H743" s="68" t="str">
        <f xml:space="preserve"> H$632</f>
        <v>kg CO2-eq</v>
      </c>
    </row>
    <row r="744" spans="2:10" ht="13.95" customHeight="1" x14ac:dyDescent="0.3"/>
    <row r="745" spans="2:10" ht="13.95" customHeight="1" x14ac:dyDescent="0.3">
      <c r="B745" s="53" t="s">
        <v>496</v>
      </c>
    </row>
    <row r="746" spans="2:10" ht="13.95" customHeight="1" x14ac:dyDescent="0.3">
      <c r="C746" s="57" t="s">
        <v>699</v>
      </c>
    </row>
    <row r="747" spans="2:10" ht="13.95" customHeight="1" x14ac:dyDescent="0.3">
      <c r="F747" s="64" t="str">
        <f xml:space="preserve"> F$79</f>
        <v>% van papier van drukwerk dat gescheiden wordt ingezameld</v>
      </c>
      <c r="G747" s="65">
        <f xml:space="preserve"> G$79</f>
        <v>0.65</v>
      </c>
      <c r="H747" s="64" t="str">
        <f xml:space="preserve"> H$79</f>
        <v>%</v>
      </c>
    </row>
    <row r="748" spans="2:10" ht="13.95" customHeight="1" x14ac:dyDescent="0.3">
      <c r="F748" s="64" t="str">
        <f xml:space="preserve"> F$243</f>
        <v>Jaarlijks gewicht papier, virgin+recycled (kg)</v>
      </c>
      <c r="G748" s="67">
        <f xml:space="preserve"> G$243</f>
        <v>1167565.9632000001</v>
      </c>
      <c r="H748" s="64" t="str">
        <f xml:space="preserve"> H$243</f>
        <v>kg / jaar</v>
      </c>
    </row>
    <row r="749" spans="2:10" ht="1.95" customHeight="1" x14ac:dyDescent="0.3">
      <c r="G749" s="66"/>
      <c r="H749" s="64"/>
    </row>
    <row r="750" spans="2:10" ht="13.95" customHeight="1" x14ac:dyDescent="0.3">
      <c r="F750" t="s">
        <v>696</v>
      </c>
      <c r="G750" s="128">
        <f>G747*G748</f>
        <v>758917.87608000007</v>
      </c>
      <c r="H750" s="64" t="s">
        <v>698</v>
      </c>
    </row>
    <row r="751" spans="2:10" ht="13.95" customHeight="1" x14ac:dyDescent="0.3">
      <c r="F751" t="s">
        <v>697</v>
      </c>
      <c r="G751" s="128">
        <f>(1-G747)*G748</f>
        <v>408648.08712000004</v>
      </c>
      <c r="H751" t="s">
        <v>698</v>
      </c>
    </row>
    <row r="752" spans="2:10" ht="13.95" customHeight="1" x14ac:dyDescent="0.3">
      <c r="J752" s="66"/>
    </row>
    <row r="753" spans="3:10" ht="13.95" customHeight="1" x14ac:dyDescent="0.3">
      <c r="F753" s="46" t="str">
        <f xml:space="preserve"> Inputs!E$264</f>
        <v>Uitval per recycleronde papier</v>
      </c>
      <c r="G753" s="47">
        <f xml:space="preserve"> Inputs!F$264</f>
        <v>0.05</v>
      </c>
      <c r="H753" s="46" t="str">
        <f xml:space="preserve"> Inputs!G$264</f>
        <v>%</v>
      </c>
    </row>
    <row r="754" spans="3:10" ht="13.95" customHeight="1" x14ac:dyDescent="0.3">
      <c r="F754" t="s">
        <v>1042</v>
      </c>
      <c r="G754" s="128">
        <f>G750-(G750*G753)</f>
        <v>720971.98227600008</v>
      </c>
      <c r="H754" t="s">
        <v>456</v>
      </c>
    </row>
    <row r="755" spans="3:10" ht="13.95" customHeight="1" x14ac:dyDescent="0.3">
      <c r="F755" t="s">
        <v>1043</v>
      </c>
      <c r="G755" s="128">
        <f>G751+(G753*G750)</f>
        <v>446593.98092400003</v>
      </c>
      <c r="H755" t="s">
        <v>456</v>
      </c>
      <c r="J755" s="128"/>
    </row>
    <row r="756" spans="3:10" ht="13.95" customHeight="1" x14ac:dyDescent="0.3">
      <c r="G756" s="128"/>
    </row>
    <row r="757" spans="3:10" ht="13.95" customHeight="1" x14ac:dyDescent="0.3">
      <c r="G757" s="128"/>
    </row>
    <row r="758" spans="3:10" ht="13.95" customHeight="1" x14ac:dyDescent="0.3">
      <c r="F758" s="64" t="str">
        <f xml:space="preserve"> F$80</f>
        <v>% van plastic van drukwerk dat gescheiden wordt ingezameld</v>
      </c>
      <c r="G758" s="127">
        <f xml:space="preserve"> G$80</f>
        <v>0.6</v>
      </c>
      <c r="H758" s="64" t="str">
        <f xml:space="preserve"> H$80</f>
        <v>%</v>
      </c>
    </row>
    <row r="759" spans="3:10" ht="13.95" customHeight="1" x14ac:dyDescent="0.3">
      <c r="F759" s="64" t="str">
        <f xml:space="preserve"> F$244</f>
        <v>Jaarlijks gewicht plastic, virgin+recycled (kg)</v>
      </c>
      <c r="G759" s="127">
        <f xml:space="preserve"> G$244</f>
        <v>2968.16</v>
      </c>
      <c r="H759" s="64" t="str">
        <f xml:space="preserve"> H$244</f>
        <v>kg / jaar</v>
      </c>
    </row>
    <row r="760" spans="3:10" ht="1.95" customHeight="1" x14ac:dyDescent="0.3">
      <c r="G760" s="128"/>
      <c r="H760" s="64"/>
    </row>
    <row r="761" spans="3:10" ht="13.95" customHeight="1" x14ac:dyDescent="0.3">
      <c r="F761" t="s">
        <v>700</v>
      </c>
      <c r="G761" s="128">
        <f>G758*G759</f>
        <v>1780.896</v>
      </c>
      <c r="H761" s="64" t="s">
        <v>698</v>
      </c>
    </row>
    <row r="762" spans="3:10" ht="13.95" customHeight="1" x14ac:dyDescent="0.3">
      <c r="F762" t="s">
        <v>701</v>
      </c>
      <c r="G762" s="128">
        <f>(1-G758)*G759</f>
        <v>1187.2639999999999</v>
      </c>
      <c r="H762" t="s">
        <v>698</v>
      </c>
    </row>
    <row r="763" spans="3:10" ht="13.95" customHeight="1" x14ac:dyDescent="0.3">
      <c r="G763" s="128"/>
    </row>
    <row r="764" spans="3:10" ht="13.95" customHeight="1" x14ac:dyDescent="0.3">
      <c r="F764" s="46" t="str">
        <f xml:space="preserve"> Inputs!E$265</f>
        <v>Percentage ingezameld folie dat alsnog wordt verbrand</v>
      </c>
      <c r="G764" s="130">
        <f xml:space="preserve"> Inputs!F$265</f>
        <v>0.05</v>
      </c>
      <c r="H764" s="46" t="str">
        <f xml:space="preserve"> Inputs!G$265</f>
        <v>%</v>
      </c>
    </row>
    <row r="765" spans="3:10" ht="13.95" customHeight="1" x14ac:dyDescent="0.3">
      <c r="F765" t="s">
        <v>1044</v>
      </c>
      <c r="G765" s="128">
        <f>G761-(G761*G764)</f>
        <v>1691.8512000000001</v>
      </c>
      <c r="H765" s="64" t="s">
        <v>698</v>
      </c>
      <c r="J765" s="43"/>
    </row>
    <row r="766" spans="3:10" ht="13.95" customHeight="1" x14ac:dyDescent="0.3">
      <c r="F766" t="s">
        <v>1045</v>
      </c>
      <c r="G766" s="128">
        <f>G762+(G764*G761)</f>
        <v>1276.3087999999998</v>
      </c>
      <c r="H766" t="s">
        <v>698</v>
      </c>
      <c r="J766" s="43"/>
    </row>
    <row r="767" spans="3:10" ht="13.95" customHeight="1" x14ac:dyDescent="0.3"/>
    <row r="768" spans="3:10" ht="13.95" customHeight="1" x14ac:dyDescent="0.3">
      <c r="C768" s="57" t="s">
        <v>703</v>
      </c>
    </row>
    <row r="769" spans="4:13" ht="13.95" customHeight="1" x14ac:dyDescent="0.3">
      <c r="D769" t="s">
        <v>1012</v>
      </c>
    </row>
    <row r="770" spans="4:13" ht="13.95" customHeight="1" x14ac:dyDescent="0.3">
      <c r="F770" s="86" t="str">
        <f xml:space="preserve"> Inputs!E$32</f>
        <v>Virgin bedrukt papier, hernieuwbare energie, biomassa</v>
      </c>
      <c r="G770" s="86">
        <f xml:space="preserve"> Inputs!F$32</f>
        <v>27.245000000000001</v>
      </c>
      <c r="H770" s="86" t="str">
        <f xml:space="preserve"> Inputs!G$32</f>
        <v>MJ-eq / kg</v>
      </c>
      <c r="K770" s="43"/>
      <c r="L770" s="43"/>
      <c r="M770" s="43"/>
    </row>
    <row r="771" spans="4:13" ht="13.95" customHeight="1" x14ac:dyDescent="0.3">
      <c r="F771" s="86" t="str">
        <f xml:space="preserve"> Inputs!E$33</f>
        <v>Virgin bedrukt papier, hernieuwbare energie, geothermie</v>
      </c>
      <c r="G771" s="86">
        <f xml:space="preserve"> Inputs!F$33</f>
        <v>7.4050000000000005E-2</v>
      </c>
      <c r="H771" s="86" t="str">
        <f xml:space="preserve"> Inputs!G$33</f>
        <v>MJ-eq / kg</v>
      </c>
    </row>
    <row r="772" spans="4:13" ht="13.95" customHeight="1" x14ac:dyDescent="0.3">
      <c r="F772" s="86" t="str">
        <f xml:space="preserve"> Inputs!E$34</f>
        <v>Virgin bedrukt papier, hernieuwbare energie, zon</v>
      </c>
      <c r="G772" s="86">
        <f xml:space="preserve"> Inputs!F$34</f>
        <v>4.6504000000000001E-4</v>
      </c>
      <c r="H772" s="86" t="str">
        <f xml:space="preserve"> Inputs!G$34</f>
        <v>MJ-eq / kg</v>
      </c>
    </row>
    <row r="773" spans="4:13" ht="13.95" customHeight="1" x14ac:dyDescent="0.3">
      <c r="F773" s="86" t="str">
        <f xml:space="preserve"> Inputs!E$35</f>
        <v>Virgin bedrukt papier, hernieuwbare energie, water</v>
      </c>
      <c r="G773" s="86">
        <f xml:space="preserve"> Inputs!F$35</f>
        <v>2.1696</v>
      </c>
      <c r="H773" s="86" t="str">
        <f xml:space="preserve"> Inputs!G$35</f>
        <v>MJ-eq / kg</v>
      </c>
    </row>
    <row r="774" spans="4:13" ht="13.95" customHeight="1" x14ac:dyDescent="0.3">
      <c r="F774" s="86" t="str">
        <f xml:space="preserve"> Inputs!E$36</f>
        <v>Virgin bedrukt papier, hernieuwbare energie, wind</v>
      </c>
      <c r="G774" s="86">
        <f xml:space="preserve"> Inputs!F$36</f>
        <v>1.0834999999999999</v>
      </c>
      <c r="H774" s="86" t="str">
        <f xml:space="preserve"> Inputs!G$36</f>
        <v>MJ-eq / kg</v>
      </c>
    </row>
    <row r="775" spans="4:13" ht="1.95" customHeight="1" x14ac:dyDescent="0.3">
      <c r="F775" s="86">
        <f xml:space="preserve"> Inputs!E$37</f>
        <v>0</v>
      </c>
      <c r="G775" s="86">
        <f xml:space="preserve"> Inputs!F$37</f>
        <v>0</v>
      </c>
      <c r="H775" s="86">
        <f xml:space="preserve"> Inputs!G$37</f>
        <v>0</v>
      </c>
    </row>
    <row r="776" spans="4:13" ht="13.95" customHeight="1" x14ac:dyDescent="0.3">
      <c r="F776" s="86" t="str">
        <f xml:space="preserve"> Inputs!E$38</f>
        <v>Virgin bedrukt papier, niet-hernieuwbare energie, fossiel</v>
      </c>
      <c r="G776" s="86">
        <f xml:space="preserve"> Inputs!F$38</f>
        <v>17.510999999999999</v>
      </c>
      <c r="H776" s="86" t="str">
        <f xml:space="preserve"> Inputs!G$38</f>
        <v>MJ-eq / kg</v>
      </c>
    </row>
    <row r="777" spans="4:13" ht="13.95" customHeight="1" x14ac:dyDescent="0.3">
      <c r="F777" s="86" t="str">
        <f xml:space="preserve"> Inputs!E$39</f>
        <v>Virgin bedrukt papier, niet-hernieuwbare energie, nucleair</v>
      </c>
      <c r="G777" s="86">
        <f xml:space="preserve"> Inputs!F$39</f>
        <v>11.567</v>
      </c>
      <c r="H777" s="86" t="str">
        <f xml:space="preserve"> Inputs!G$39</f>
        <v>MJ-eq / kg</v>
      </c>
    </row>
    <row r="778" spans="4:13" ht="13.95" customHeight="1" x14ac:dyDescent="0.3">
      <c r="F778" s="86" t="str">
        <f xml:space="preserve"> Inputs!E$40</f>
        <v>Virgin bedrukt papier, niet-hernieuwbare energie, oerbos</v>
      </c>
      <c r="G778" s="86">
        <f xml:space="preserve"> Inputs!F$40</f>
        <v>3.0032000000000001E-3</v>
      </c>
      <c r="H778" s="86" t="str">
        <f xml:space="preserve"> Inputs!G$40</f>
        <v>MJ-eq / kg</v>
      </c>
    </row>
    <row r="779" spans="4:13" ht="1.95" customHeight="1" x14ac:dyDescent="0.3">
      <c r="F779" s="86">
        <f xml:space="preserve"> Inputs!E$41</f>
        <v>0</v>
      </c>
      <c r="G779" s="86">
        <f xml:space="preserve"> Inputs!F$41</f>
        <v>0</v>
      </c>
      <c r="H779" s="86">
        <f xml:space="preserve"> Inputs!G$41</f>
        <v>0</v>
      </c>
    </row>
    <row r="780" spans="4:13" ht="13.95" customHeight="1" x14ac:dyDescent="0.3">
      <c r="F780" s="86" t="str">
        <f xml:space="preserve"> Inputs!E$42</f>
        <v>Virgin bedrukt papier, water</v>
      </c>
      <c r="G780" s="86">
        <f xml:space="preserve"> Inputs!F$42</f>
        <v>2.6164E-2</v>
      </c>
      <c r="H780" s="86" t="str">
        <f xml:space="preserve"> Inputs!G$42</f>
        <v>m3 / kg</v>
      </c>
    </row>
    <row r="781" spans="4:13" ht="1.95" customHeight="1" x14ac:dyDescent="0.3">
      <c r="F781" s="86">
        <f xml:space="preserve"> Inputs!E$43</f>
        <v>0</v>
      </c>
      <c r="G781" s="86">
        <f xml:space="preserve"> Inputs!F$43</f>
        <v>0</v>
      </c>
      <c r="H781" s="86">
        <f xml:space="preserve"> Inputs!G$43</f>
        <v>0</v>
      </c>
    </row>
    <row r="782" spans="4:13" ht="13.95" customHeight="1" x14ac:dyDescent="0.3">
      <c r="F782" s="86" t="str">
        <f xml:space="preserve"> Inputs!E$44</f>
        <v>Virgin bedrukt papier, GWP100</v>
      </c>
      <c r="G782" s="86">
        <f xml:space="preserve"> Inputs!F$44</f>
        <v>1.3794999999999999</v>
      </c>
      <c r="H782" s="86" t="str">
        <f xml:space="preserve"> Inputs!G$44</f>
        <v>kg CO2-eq / kg</v>
      </c>
    </row>
    <row r="783" spans="4:13" ht="13.95" customHeight="1" x14ac:dyDescent="0.3">
      <c r="F783" s="86"/>
      <c r="G783" s="116"/>
      <c r="H783" s="86"/>
    </row>
    <row r="784" spans="4:13" ht="13.95" customHeight="1" x14ac:dyDescent="0.3">
      <c r="F784" s="86" t="str">
        <f xml:space="preserve"> Inputs!E$47</f>
        <v>Recycled bedrukt papier per kg output (gerecycled papier), hernieuwbare energie, biomassa</v>
      </c>
      <c r="G784" s="86">
        <f xml:space="preserve"> Inputs!F$47</f>
        <v>11.555</v>
      </c>
      <c r="H784" s="86" t="str">
        <f xml:space="preserve"> Inputs!G$47</f>
        <v>MJ-eq / kg</v>
      </c>
      <c r="L784" t="s">
        <v>1552</v>
      </c>
    </row>
    <row r="785" spans="6:8" ht="13.95" customHeight="1" x14ac:dyDescent="0.3">
      <c r="F785" s="86" t="str">
        <f xml:space="preserve"> Inputs!E$48</f>
        <v>Recycled bedrukt papier per kg output (gerecycled papier), hernieuwbare energie, geothermie</v>
      </c>
      <c r="G785" s="86">
        <f xml:space="preserve"> Inputs!F$48</f>
        <v>4.3588000000000002E-2</v>
      </c>
      <c r="H785" s="86" t="str">
        <f xml:space="preserve"> Inputs!G$48</f>
        <v>MJ-eq / kg</v>
      </c>
    </row>
    <row r="786" spans="6:8" ht="13.95" customHeight="1" x14ac:dyDescent="0.3">
      <c r="F786" s="86" t="str">
        <f xml:space="preserve"> Inputs!E$49</f>
        <v>Recycled bedrukt papier per kg output (gerecycled papier), hernieuwbare energie, zon</v>
      </c>
      <c r="G786" s="86">
        <f xml:space="preserve"> Inputs!F$49</f>
        <v>2.9163000000000003E-4</v>
      </c>
      <c r="H786" s="86" t="str">
        <f xml:space="preserve"> Inputs!G$49</f>
        <v>MJ-eq / kg</v>
      </c>
    </row>
    <row r="787" spans="6:8" ht="13.95" customHeight="1" x14ac:dyDescent="0.3">
      <c r="F787" s="86" t="str">
        <f xml:space="preserve"> Inputs!E$50</f>
        <v>Recycled bedrukt papier per kg output (gerecycled papier), hernieuwbare energie, water</v>
      </c>
      <c r="G787" s="86">
        <f xml:space="preserve"> Inputs!F$50</f>
        <v>1.2242999999999999</v>
      </c>
      <c r="H787" s="86" t="str">
        <f xml:space="preserve"> Inputs!G$50</f>
        <v>MJ-eq / kg</v>
      </c>
    </row>
    <row r="788" spans="6:8" ht="13.95" customHeight="1" x14ac:dyDescent="0.3">
      <c r="F788" s="86" t="str">
        <f xml:space="preserve"> Inputs!E$51</f>
        <v>Recycled bedrukt papier per kg output (gerecycled papier), hernieuwbare energie, wind</v>
      </c>
      <c r="G788" s="86">
        <f xml:space="preserve"> Inputs!F$51</f>
        <v>0.63278999999999996</v>
      </c>
      <c r="H788" s="86" t="str">
        <f xml:space="preserve"> Inputs!G$51</f>
        <v>MJ-eq / kg</v>
      </c>
    </row>
    <row r="789" spans="6:8" ht="1.95" customHeight="1" x14ac:dyDescent="0.3">
      <c r="F789" s="86">
        <f xml:space="preserve"> Inputs!E$52</f>
        <v>0</v>
      </c>
      <c r="G789" s="86">
        <f xml:space="preserve"> Inputs!F$52</f>
        <v>0</v>
      </c>
      <c r="H789" s="86">
        <f xml:space="preserve"> Inputs!G$52</f>
        <v>0</v>
      </c>
    </row>
    <row r="790" spans="6:8" ht="13.95" customHeight="1" x14ac:dyDescent="0.3">
      <c r="F790" s="86" t="str">
        <f xml:space="preserve"> Inputs!E$53</f>
        <v>Recycled bedrukt papier per kg output (gerecycled papier), niet-hernieuwbare energie, fossiel</v>
      </c>
      <c r="G790" s="86">
        <f xml:space="preserve"> Inputs!F$53</f>
        <v>13.451000000000001</v>
      </c>
      <c r="H790" s="86" t="str">
        <f xml:space="preserve"> Inputs!G$53</f>
        <v>MJ-eq / kg</v>
      </c>
    </row>
    <row r="791" spans="6:8" ht="13.95" customHeight="1" x14ac:dyDescent="0.3">
      <c r="F791" s="86" t="str">
        <f xml:space="preserve"> Inputs!E$54</f>
        <v>Recycled bedrukt papier per kg output (gerecycled papier), niet-hernieuwbare energie, nucleair</v>
      </c>
      <c r="G791" s="86">
        <f xml:space="preserve"> Inputs!F$54</f>
        <v>6.6791</v>
      </c>
      <c r="H791" s="86" t="str">
        <f xml:space="preserve"> Inputs!G$54</f>
        <v>MJ-eq / kg</v>
      </c>
    </row>
    <row r="792" spans="6:8" ht="13.95" customHeight="1" x14ac:dyDescent="0.3">
      <c r="F792" s="86" t="str">
        <f xml:space="preserve"> Inputs!E$55</f>
        <v>Recycled bedrukt papier per kg output (gerecycled papier), niet-hernieuwbare energie, oerbos</v>
      </c>
      <c r="G792" s="86">
        <f xml:space="preserve"> Inputs!F$55</f>
        <v>1.796E-2</v>
      </c>
      <c r="H792" s="86" t="str">
        <f xml:space="preserve"> Inputs!G$55</f>
        <v>MJ-eq / kg</v>
      </c>
    </row>
    <row r="793" spans="6:8" ht="1.95" customHeight="1" x14ac:dyDescent="0.3">
      <c r="F793" s="86">
        <f xml:space="preserve"> Inputs!E$56</f>
        <v>0</v>
      </c>
      <c r="G793" s="86">
        <f xml:space="preserve"> Inputs!F$56</f>
        <v>0</v>
      </c>
      <c r="H793" s="86">
        <f xml:space="preserve"> Inputs!G$56</f>
        <v>0</v>
      </c>
    </row>
    <row r="794" spans="6:8" ht="13.95" customHeight="1" x14ac:dyDescent="0.3">
      <c r="F794" s="86" t="str">
        <f xml:space="preserve"> Inputs!E$57</f>
        <v>Recycled bedrukt papier per kg output (gerecycled papier), water</v>
      </c>
      <c r="G794" s="86">
        <f xml:space="preserve"> Inputs!F$57</f>
        <v>2.1631999999999998E-2</v>
      </c>
      <c r="H794" s="86" t="str">
        <f xml:space="preserve"> Inputs!G$57</f>
        <v>m3 / kg</v>
      </c>
    </row>
    <row r="795" spans="6:8" ht="1.95" customHeight="1" x14ac:dyDescent="0.3">
      <c r="F795" s="86">
        <f xml:space="preserve"> Inputs!E$58</f>
        <v>0</v>
      </c>
      <c r="G795" s="86">
        <f xml:space="preserve"> Inputs!F$58</f>
        <v>0</v>
      </c>
      <c r="H795" s="86">
        <f xml:space="preserve"> Inputs!G$58</f>
        <v>0</v>
      </c>
    </row>
    <row r="796" spans="6:8" ht="13.95" customHeight="1" x14ac:dyDescent="0.3">
      <c r="F796" s="86" t="str">
        <f xml:space="preserve"> Inputs!E$59</f>
        <v>Recycled bedrukt papier per kg output (gerecycled papier), GWP100</v>
      </c>
      <c r="G796" s="86">
        <f xml:space="preserve"> Inputs!F$59</f>
        <v>1.1591</v>
      </c>
      <c r="H796" s="86" t="str">
        <f xml:space="preserve"> Inputs!G$59</f>
        <v>kg CO2-eq / kg</v>
      </c>
    </row>
    <row r="797" spans="6:8" ht="13.95" customHeight="1" x14ac:dyDescent="0.3">
      <c r="F797" s="114"/>
      <c r="G797" s="114"/>
      <c r="H797" s="114"/>
    </row>
    <row r="798" spans="6:8" ht="13.95" customHeight="1" x14ac:dyDescent="0.3">
      <c r="F798" s="111" t="s">
        <v>994</v>
      </c>
      <c r="G798" s="144">
        <f>G784-G770</f>
        <v>-15.690000000000001</v>
      </c>
      <c r="H798" s="111" t="s">
        <v>473</v>
      </c>
    </row>
    <row r="799" spans="6:8" ht="13.95" customHeight="1" x14ac:dyDescent="0.3">
      <c r="F799" s="111" t="s">
        <v>995</v>
      </c>
      <c r="G799" s="144">
        <f t="shared" ref="G799:G810" si="21">G785-G771</f>
        <v>-3.0462000000000003E-2</v>
      </c>
      <c r="H799" s="111" t="s">
        <v>473</v>
      </c>
    </row>
    <row r="800" spans="6:8" ht="13.95" customHeight="1" x14ac:dyDescent="0.3">
      <c r="F800" s="111" t="s">
        <v>996</v>
      </c>
      <c r="G800" s="144">
        <f t="shared" si="21"/>
        <v>-1.7340999999999998E-4</v>
      </c>
      <c r="H800" s="111" t="s">
        <v>473</v>
      </c>
    </row>
    <row r="801" spans="6:8" ht="13.95" customHeight="1" x14ac:dyDescent="0.3">
      <c r="F801" s="111" t="s">
        <v>997</v>
      </c>
      <c r="G801" s="144">
        <f t="shared" si="21"/>
        <v>-0.94530000000000003</v>
      </c>
      <c r="H801" s="111" t="s">
        <v>473</v>
      </c>
    </row>
    <row r="802" spans="6:8" ht="13.95" customHeight="1" x14ac:dyDescent="0.3">
      <c r="F802" s="111" t="s">
        <v>998</v>
      </c>
      <c r="G802" s="144">
        <f t="shared" si="21"/>
        <v>-0.45070999999999994</v>
      </c>
      <c r="H802" s="111" t="s">
        <v>473</v>
      </c>
    </row>
    <row r="803" spans="6:8" ht="1.95" customHeight="1" x14ac:dyDescent="0.3">
      <c r="F803" s="111"/>
      <c r="G803" s="144"/>
      <c r="H803" s="111"/>
    </row>
    <row r="804" spans="6:8" ht="13.95" customHeight="1" x14ac:dyDescent="0.3">
      <c r="F804" s="111" t="s">
        <v>999</v>
      </c>
      <c r="G804" s="144">
        <f t="shared" si="21"/>
        <v>-4.0599999999999987</v>
      </c>
      <c r="H804" s="111" t="s">
        <v>473</v>
      </c>
    </row>
    <row r="805" spans="6:8" ht="13.95" customHeight="1" x14ac:dyDescent="0.3">
      <c r="F805" s="111" t="s">
        <v>1000</v>
      </c>
      <c r="G805" s="144">
        <f t="shared" si="21"/>
        <v>-4.8879000000000001</v>
      </c>
      <c r="H805" s="111" t="s">
        <v>473</v>
      </c>
    </row>
    <row r="806" spans="6:8" ht="13.95" customHeight="1" x14ac:dyDescent="0.3">
      <c r="F806" s="111" t="s">
        <v>1001</v>
      </c>
      <c r="G806" s="144">
        <f t="shared" si="21"/>
        <v>1.4956799999999999E-2</v>
      </c>
      <c r="H806" s="111" t="s">
        <v>473</v>
      </c>
    </row>
    <row r="807" spans="6:8" ht="1.95" customHeight="1" x14ac:dyDescent="0.3">
      <c r="F807" s="111"/>
      <c r="G807" s="144"/>
      <c r="H807" s="111"/>
    </row>
    <row r="808" spans="6:8" ht="13.95" customHeight="1" x14ac:dyDescent="0.3">
      <c r="F808" s="111" t="s">
        <v>1002</v>
      </c>
      <c r="G808" s="144">
        <f t="shared" si="21"/>
        <v>-4.5320000000000013E-3</v>
      </c>
      <c r="H808" s="111" t="s">
        <v>474</v>
      </c>
    </row>
    <row r="809" spans="6:8" ht="1.95" customHeight="1" x14ac:dyDescent="0.3">
      <c r="F809" s="111"/>
      <c r="G809" s="144"/>
      <c r="H809" s="111"/>
    </row>
    <row r="810" spans="6:8" ht="13.95" customHeight="1" x14ac:dyDescent="0.3">
      <c r="F810" s="111" t="s">
        <v>1003</v>
      </c>
      <c r="G810" s="144">
        <f t="shared" si="21"/>
        <v>-0.22039999999999993</v>
      </c>
      <c r="H810" s="111" t="s">
        <v>475</v>
      </c>
    </row>
    <row r="811" spans="6:8" ht="13.95" customHeight="1" x14ac:dyDescent="0.3"/>
    <row r="812" spans="6:8" ht="13.95" customHeight="1" x14ac:dyDescent="0.3">
      <c r="F812" s="68" t="s">
        <v>1004</v>
      </c>
      <c r="G812" s="75">
        <f>SUM(G798:G802)</f>
        <v>-17.116645410000004</v>
      </c>
      <c r="H812" s="68" t="s">
        <v>473</v>
      </c>
    </row>
    <row r="813" spans="6:8" ht="13.95" customHeight="1" x14ac:dyDescent="0.3">
      <c r="F813" s="68" t="s">
        <v>1005</v>
      </c>
      <c r="G813" s="75">
        <f>SUM(G804:G806)</f>
        <v>-8.9329431999999986</v>
      </c>
      <c r="H813" s="68" t="s">
        <v>473</v>
      </c>
    </row>
    <row r="814" spans="6:8" ht="13.95" customHeight="1" x14ac:dyDescent="0.3">
      <c r="F814" s="68" t="s">
        <v>1006</v>
      </c>
      <c r="G814" s="75">
        <f>G808</f>
        <v>-4.5320000000000013E-3</v>
      </c>
      <c r="H814" s="68" t="s">
        <v>474</v>
      </c>
    </row>
    <row r="815" spans="6:8" ht="13.95" customHeight="1" x14ac:dyDescent="0.3">
      <c r="F815" s="68" t="s">
        <v>1007</v>
      </c>
      <c r="G815" s="75">
        <f>G810</f>
        <v>-0.22039999999999993</v>
      </c>
      <c r="H815" s="68" t="s">
        <v>475</v>
      </c>
    </row>
    <row r="816" spans="6:8" ht="1.95" customHeight="1" x14ac:dyDescent="0.3">
      <c r="F816" s="59"/>
      <c r="G816" s="59"/>
      <c r="H816" s="59"/>
    </row>
    <row r="817" spans="4:8" ht="13.95" customHeight="1" x14ac:dyDescent="0.3">
      <c r="F817" s="64" t="str">
        <f xml:space="preserve"> F$754</f>
        <v>Overgebleven gewicht recycled, na uitval, papier</v>
      </c>
      <c r="G817" s="67">
        <f xml:space="preserve"> G$754</f>
        <v>720971.98227600008</v>
      </c>
      <c r="H817" s="64" t="str">
        <f xml:space="preserve"> H$754</f>
        <v>kg / jaar</v>
      </c>
    </row>
    <row r="818" spans="4:8" ht="1.95" customHeight="1" x14ac:dyDescent="0.3">
      <c r="F818" s="59"/>
      <c r="G818" s="59"/>
      <c r="H818" s="59"/>
    </row>
    <row r="819" spans="4:8" ht="13.95" customHeight="1" x14ac:dyDescent="0.3">
      <c r="F819" s="68" t="s">
        <v>1008</v>
      </c>
      <c r="G819" s="73">
        <f>G812*$G$817</f>
        <v>-12340621.7711631</v>
      </c>
      <c r="H819" s="68" t="str">
        <f xml:space="preserve"> H$629</f>
        <v>MJ-eq</v>
      </c>
    </row>
    <row r="820" spans="4:8" ht="13.95" customHeight="1" x14ac:dyDescent="0.3">
      <c r="F820" s="68" t="s">
        <v>1009</v>
      </c>
      <c r="G820" s="73">
        <f t="shared" ref="G820:G822" si="22">G813*$G$817</f>
        <v>-6440401.7664629146</v>
      </c>
      <c r="H820" s="68" t="str">
        <f xml:space="preserve"> H$630</f>
        <v>MJ-eq</v>
      </c>
    </row>
    <row r="821" spans="4:8" ht="13.95" customHeight="1" x14ac:dyDescent="0.3">
      <c r="F821" s="68" t="s">
        <v>1010</v>
      </c>
      <c r="G821" s="73">
        <f t="shared" si="22"/>
        <v>-3267.4450236748335</v>
      </c>
      <c r="H821" s="68" t="str">
        <f xml:space="preserve"> H$631</f>
        <v>m3</v>
      </c>
    </row>
    <row r="822" spans="4:8" ht="13.95" customHeight="1" x14ac:dyDescent="0.3">
      <c r="F822" s="68" t="s">
        <v>1011</v>
      </c>
      <c r="G822" s="73">
        <f t="shared" si="22"/>
        <v>-158902.22489363037</v>
      </c>
      <c r="H822" s="68" t="str">
        <f xml:space="preserve"> H$632</f>
        <v>kg CO2-eq</v>
      </c>
    </row>
    <row r="823" spans="4:8" ht="13.95" customHeight="1" x14ac:dyDescent="0.3"/>
    <row r="824" spans="4:8" ht="13.95" customHeight="1" x14ac:dyDescent="0.3">
      <c r="D824" s="80" t="s">
        <v>1013</v>
      </c>
      <c r="E824" s="118"/>
      <c r="F824" s="59"/>
      <c r="G824" s="59"/>
      <c r="H824" s="59"/>
    </row>
    <row r="825" spans="4:8" ht="13.95" customHeight="1" x14ac:dyDescent="0.3">
      <c r="D825" s="59"/>
      <c r="E825" s="119" t="s">
        <v>728</v>
      </c>
      <c r="F825" s="59"/>
      <c r="G825" s="59"/>
      <c r="H825" s="59"/>
    </row>
    <row r="826" spans="4:8" ht="13.95" customHeight="1" x14ac:dyDescent="0.3">
      <c r="D826" s="59"/>
      <c r="E826" s="118"/>
      <c r="F826" s="46" t="str">
        <f xml:space="preserve"> Inputs!E$314</f>
        <v>Verbranding, grafisch papier, hernieuwbare energie, biomassa</v>
      </c>
      <c r="G826" s="46">
        <f xml:space="preserve"> Inputs!F$314</f>
        <v>2.6280000000000001E-3</v>
      </c>
      <c r="H826" s="46" t="str">
        <f xml:space="preserve"> Inputs!G$314</f>
        <v>MJ-eq / kg</v>
      </c>
    </row>
    <row r="827" spans="4:8" ht="13.95" customHeight="1" x14ac:dyDescent="0.3">
      <c r="D827" s="59"/>
      <c r="E827" s="118"/>
      <c r="F827" s="46" t="str">
        <f xml:space="preserve"> Inputs!E$315</f>
        <v>Verbranding, grafisch papier, hernieuwbare energie, geothermie</v>
      </c>
      <c r="G827" s="46">
        <f xml:space="preserve"> Inputs!F$315</f>
        <v>9.1598E-5</v>
      </c>
      <c r="H827" s="46" t="str">
        <f xml:space="preserve"> Inputs!G$315</f>
        <v>MJ-eq / kg</v>
      </c>
    </row>
    <row r="828" spans="4:8" ht="13.95" customHeight="1" x14ac:dyDescent="0.3">
      <c r="D828" s="59"/>
      <c r="E828" s="118"/>
      <c r="F828" s="46" t="str">
        <f xml:space="preserve"> Inputs!E$316</f>
        <v>Verbranding, grafisch papier, hernieuwbare energie, zon</v>
      </c>
      <c r="G828" s="46">
        <f xml:space="preserve"> Inputs!F$316</f>
        <v>1.2632E-5</v>
      </c>
      <c r="H828" s="46" t="str">
        <f xml:space="preserve"> Inputs!G$316</f>
        <v>MJ-eq / kg</v>
      </c>
    </row>
    <row r="829" spans="4:8" ht="13.95" customHeight="1" x14ac:dyDescent="0.3">
      <c r="D829" s="59"/>
      <c r="E829" s="118"/>
      <c r="F829" s="46" t="str">
        <f xml:space="preserve"> Inputs!E$317</f>
        <v>Verbranding, grafisch papier, hernieuwbare energie, water</v>
      </c>
      <c r="G829" s="46">
        <f xml:space="preserve"> Inputs!F$317</f>
        <v>5.2865999999999998E-3</v>
      </c>
      <c r="H829" s="46" t="str">
        <f xml:space="preserve"> Inputs!G$317</f>
        <v>MJ-eq / kg</v>
      </c>
    </row>
    <row r="830" spans="4:8" ht="13.95" customHeight="1" x14ac:dyDescent="0.3">
      <c r="D830" s="59"/>
      <c r="E830" s="118"/>
      <c r="F830" s="46" t="str">
        <f xml:space="preserve"> Inputs!E$318</f>
        <v>Verbranding, grafisch papier, hernieuwbare energie, wind</v>
      </c>
      <c r="G830" s="46">
        <f xml:space="preserve"> Inputs!F$318</f>
        <v>9.1022E-4</v>
      </c>
      <c r="H830" s="46" t="str">
        <f xml:space="preserve"> Inputs!G$318</f>
        <v>MJ-eq / kg</v>
      </c>
    </row>
    <row r="831" spans="4:8" ht="1.95" customHeight="1" x14ac:dyDescent="0.3">
      <c r="D831" s="59"/>
      <c r="E831" s="118"/>
      <c r="F831" s="46"/>
      <c r="G831" s="46"/>
      <c r="H831" s="46"/>
    </row>
    <row r="832" spans="4:8" ht="13.95" customHeight="1" x14ac:dyDescent="0.3">
      <c r="D832" s="59"/>
      <c r="E832" s="118"/>
      <c r="F832" s="46" t="str">
        <f xml:space="preserve"> Inputs!E$320</f>
        <v>Verbranding, grafisch papier, niet-hernieuwbare energie, fossiel</v>
      </c>
      <c r="G832" s="46">
        <f xml:space="preserve"> Inputs!F$320</f>
        <v>0.21035000000000001</v>
      </c>
      <c r="H832" s="46" t="str">
        <f xml:space="preserve"> Inputs!G$320</f>
        <v>MJ-eq / kg</v>
      </c>
    </row>
    <row r="833" spans="4:8" ht="13.95" customHeight="1" x14ac:dyDescent="0.3">
      <c r="D833" s="59"/>
      <c r="E833" s="118"/>
      <c r="F833" s="46" t="str">
        <f xml:space="preserve"> Inputs!E$321</f>
        <v>Verbranding, grafisch papier, niet-hernieuwbare energie, nucleair</v>
      </c>
      <c r="G833" s="46">
        <f xml:space="preserve"> Inputs!F$321</f>
        <v>1.1459E-2</v>
      </c>
      <c r="H833" s="46" t="str">
        <f xml:space="preserve"> Inputs!G$321</f>
        <v>MJ-eq / kg</v>
      </c>
    </row>
    <row r="834" spans="4:8" ht="13.95" customHeight="1" x14ac:dyDescent="0.3">
      <c r="D834" s="59"/>
      <c r="E834" s="118"/>
      <c r="F834" s="46" t="str">
        <f xml:space="preserve"> Inputs!E$322</f>
        <v>Verbranding, grafisch papier, niet-hernieuwbare energie, oerbos</v>
      </c>
      <c r="G834" s="46">
        <f xml:space="preserve"> Inputs!F$322</f>
        <v>1.0739E-5</v>
      </c>
      <c r="H834" s="46" t="str">
        <f xml:space="preserve"> Inputs!G$322</f>
        <v>MJ-eq / kg</v>
      </c>
    </row>
    <row r="835" spans="4:8" ht="1.95" customHeight="1" x14ac:dyDescent="0.3">
      <c r="D835" s="59"/>
      <c r="E835" s="118"/>
      <c r="F835" s="86"/>
      <c r="G835" s="46"/>
      <c r="H835" s="46"/>
    </row>
    <row r="836" spans="4:8" ht="13.95" customHeight="1" x14ac:dyDescent="0.3">
      <c r="D836" s="59"/>
      <c r="E836" s="118"/>
      <c r="F836" s="46" t="str">
        <f xml:space="preserve"> Inputs!E$324</f>
        <v>Verbranding, grafisch papier, water</v>
      </c>
      <c r="G836" s="46">
        <f xml:space="preserve"> Inputs!F$324</f>
        <v>6.7628000000000002E-4</v>
      </c>
      <c r="H836" s="46" t="str">
        <f xml:space="preserve"> Inputs!G$324</f>
        <v>m3 / kg</v>
      </c>
    </row>
    <row r="837" spans="4:8" ht="1.95" customHeight="1" x14ac:dyDescent="0.3">
      <c r="D837" s="59"/>
      <c r="E837" s="118"/>
      <c r="F837" s="86"/>
      <c r="G837" s="46"/>
      <c r="H837" s="46"/>
    </row>
    <row r="838" spans="4:8" ht="13.95" customHeight="1" x14ac:dyDescent="0.3">
      <c r="D838" s="59"/>
      <c r="E838" s="118"/>
      <c r="F838" s="46" t="str">
        <f xml:space="preserve"> Inputs!E$326</f>
        <v>Verbranding, grafisch papier, GWP100</v>
      </c>
      <c r="G838" s="46">
        <f xml:space="preserve"> Inputs!F$326</f>
        <v>3.1708E-2</v>
      </c>
      <c r="H838" s="46" t="str">
        <f xml:space="preserve"> Inputs!G$326</f>
        <v>kg CO2-eq / kg</v>
      </c>
    </row>
    <row r="839" spans="4:8" ht="13.95" customHeight="1" x14ac:dyDescent="0.3">
      <c r="D839" s="59"/>
      <c r="E839" s="118"/>
      <c r="F839" s="59"/>
      <c r="G839" s="59"/>
      <c r="H839" s="59"/>
    </row>
    <row r="840" spans="4:8" ht="13.95" customHeight="1" x14ac:dyDescent="0.3">
      <c r="D840" s="59"/>
      <c r="E840" s="118"/>
      <c r="F840" s="68" t="s">
        <v>1015</v>
      </c>
      <c r="G840" s="75">
        <f>SUM(G826:G830)</f>
        <v>8.9290499999999991E-3</v>
      </c>
      <c r="H840" s="68" t="s">
        <v>473</v>
      </c>
    </row>
    <row r="841" spans="4:8" ht="13.95" customHeight="1" x14ac:dyDescent="0.3">
      <c r="D841" s="59"/>
      <c r="E841" s="118"/>
      <c r="F841" s="68" t="s">
        <v>1016</v>
      </c>
      <c r="G841" s="75">
        <f>SUM(G832:G834)</f>
        <v>0.22181973900000002</v>
      </c>
      <c r="H841" s="68" t="s">
        <v>473</v>
      </c>
    </row>
    <row r="842" spans="4:8" ht="13.95" customHeight="1" x14ac:dyDescent="0.3">
      <c r="D842" s="59"/>
      <c r="E842" s="118"/>
      <c r="F842" s="68" t="s">
        <v>1017</v>
      </c>
      <c r="G842" s="75">
        <f>G836</f>
        <v>6.7628000000000002E-4</v>
      </c>
      <c r="H842" s="68" t="s">
        <v>474</v>
      </c>
    </row>
    <row r="843" spans="4:8" ht="13.95" customHeight="1" x14ac:dyDescent="0.3">
      <c r="D843" s="59"/>
      <c r="E843" s="118"/>
      <c r="F843" s="68" t="s">
        <v>1018</v>
      </c>
      <c r="G843" s="75">
        <f>G838</f>
        <v>3.1708E-2</v>
      </c>
      <c r="H843" s="68" t="s">
        <v>475</v>
      </c>
    </row>
    <row r="844" spans="4:8" ht="1.95" customHeight="1" x14ac:dyDescent="0.3">
      <c r="D844" s="59"/>
      <c r="E844" s="118"/>
      <c r="F844" s="59"/>
      <c r="G844" s="59"/>
      <c r="H844" s="59"/>
    </row>
    <row r="845" spans="4:8" ht="13.95" customHeight="1" x14ac:dyDescent="0.3">
      <c r="D845" s="59"/>
      <c r="E845" s="118"/>
      <c r="F845" s="64" t="str">
        <f xml:space="preserve"> F$755</f>
        <v>Totaalgewicht restafval, incl. uitval, papier</v>
      </c>
      <c r="G845" s="67">
        <f xml:space="preserve"> G$755</f>
        <v>446593.98092400003</v>
      </c>
      <c r="H845" s="64" t="str">
        <f xml:space="preserve"> H$755</f>
        <v>kg / jaar</v>
      </c>
    </row>
    <row r="846" spans="4:8" ht="1.95" customHeight="1" x14ac:dyDescent="0.3">
      <c r="D846" s="59"/>
      <c r="E846" s="118"/>
      <c r="F846" s="59"/>
      <c r="G846" s="59"/>
      <c r="H846" s="59"/>
    </row>
    <row r="847" spans="4:8" ht="13.95" customHeight="1" x14ac:dyDescent="0.3">
      <c r="D847" s="59"/>
      <c r="E847" s="118"/>
      <c r="F847" s="68" t="s">
        <v>1019</v>
      </c>
      <c r="G847" s="73">
        <f>G840*$G$845</f>
        <v>3987.659985369442</v>
      </c>
      <c r="H847" s="68" t="str">
        <f xml:space="preserve"> H$629</f>
        <v>MJ-eq</v>
      </c>
    </row>
    <row r="848" spans="4:8" ht="13.95" customHeight="1" x14ac:dyDescent="0.3">
      <c r="D848" s="59"/>
      <c r="E848" s="118"/>
      <c r="F848" s="68" t="s">
        <v>1020</v>
      </c>
      <c r="G848" s="73">
        <f t="shared" ref="G848:G850" si="23">G841*$G$845</f>
        <v>99063.360287532676</v>
      </c>
      <c r="H848" s="68" t="str">
        <f xml:space="preserve"> H$630</f>
        <v>MJ-eq</v>
      </c>
    </row>
    <row r="849" spans="4:10" ht="13.95" customHeight="1" x14ac:dyDescent="0.3">
      <c r="D849" s="59"/>
      <c r="E849" s="118"/>
      <c r="F849" s="68" t="s">
        <v>1021</v>
      </c>
      <c r="G849" s="73">
        <f t="shared" si="23"/>
        <v>302.02257741928275</v>
      </c>
      <c r="H849" s="68" t="str">
        <f xml:space="preserve"> H$631</f>
        <v>m3</v>
      </c>
    </row>
    <row r="850" spans="4:10" ht="13.95" customHeight="1" x14ac:dyDescent="0.3">
      <c r="D850" s="59"/>
      <c r="E850" s="118"/>
      <c r="F850" s="68" t="s">
        <v>1022</v>
      </c>
      <c r="G850" s="73">
        <f t="shared" si="23"/>
        <v>14160.601947138193</v>
      </c>
      <c r="H850" s="68" t="str">
        <f xml:space="preserve"> H$632</f>
        <v>kg CO2-eq</v>
      </c>
    </row>
    <row r="851" spans="4:10" ht="13.95" customHeight="1" x14ac:dyDescent="0.3">
      <c r="D851" s="59"/>
      <c r="E851" s="118"/>
      <c r="F851" s="59"/>
      <c r="G851" s="59"/>
      <c r="H851" s="59"/>
    </row>
    <row r="852" spans="4:10" ht="13.95" customHeight="1" x14ac:dyDescent="0.3">
      <c r="D852" s="59"/>
      <c r="E852" s="119" t="s">
        <v>729</v>
      </c>
      <c r="F852" s="59"/>
      <c r="G852" s="59"/>
      <c r="H852" s="59"/>
    </row>
    <row r="853" spans="4:10" ht="13.95" customHeight="1" x14ac:dyDescent="0.3">
      <c r="D853" s="59"/>
      <c r="E853" s="118"/>
      <c r="F853" s="64" t="str">
        <f xml:space="preserve"> F$755</f>
        <v>Totaalgewicht restafval, incl. uitval, papier</v>
      </c>
      <c r="G853" s="127">
        <f xml:space="preserve"> G$755</f>
        <v>446593.98092400003</v>
      </c>
      <c r="H853" s="64" t="str">
        <f xml:space="preserve"> H$755</f>
        <v>kg / jaar</v>
      </c>
      <c r="J853" s="43"/>
    </row>
    <row r="854" spans="4:10" ht="1.95" customHeight="1" x14ac:dyDescent="0.3">
      <c r="D854" s="59"/>
      <c r="E854" s="118"/>
      <c r="F854" s="59"/>
      <c r="G854" s="196"/>
      <c r="H854" s="59"/>
      <c r="J854" s="43"/>
    </row>
    <row r="855" spans="4:10" ht="13.95" customHeight="1" x14ac:dyDescent="0.3">
      <c r="D855" s="59"/>
      <c r="E855" s="118"/>
      <c r="F855" s="86" t="str">
        <f xml:space="preserve"> Inputs!E$328</f>
        <v>Elektriciteitsproductie, verbranding papier</v>
      </c>
      <c r="G855" s="197">
        <f xml:space="preserve"> Inputs!F$328</f>
        <v>1.74</v>
      </c>
      <c r="H855" s="86" t="str">
        <f xml:space="preserve"> Inputs!G$328</f>
        <v>MJ / kg</v>
      </c>
      <c r="J855" s="43"/>
    </row>
    <row r="856" spans="4:10" ht="13.95" customHeight="1" x14ac:dyDescent="0.3">
      <c r="D856" s="59"/>
      <c r="E856" s="118"/>
      <c r="F856" s="86" t="str">
        <f xml:space="preserve"> Inputs!E$329</f>
        <v>Warmteproductie, verbranding papier</v>
      </c>
      <c r="G856" s="197">
        <f xml:space="preserve"> Inputs!F$329</f>
        <v>3.5</v>
      </c>
      <c r="H856" s="86" t="str">
        <f xml:space="preserve"> Inputs!G$329</f>
        <v>MJ / kg</v>
      </c>
      <c r="J856" s="43"/>
    </row>
    <row r="857" spans="4:10" ht="1.95" customHeight="1" x14ac:dyDescent="0.3">
      <c r="D857" s="59"/>
      <c r="E857" s="118"/>
      <c r="F857" s="59"/>
      <c r="G857" s="194"/>
      <c r="H857" s="59"/>
      <c r="J857" s="43"/>
    </row>
    <row r="858" spans="4:10" ht="13.95" customHeight="1" x14ac:dyDescent="0.3">
      <c r="D858" s="59"/>
      <c r="E858" s="118"/>
      <c r="F858" s="46" t="str">
        <f xml:space="preserve"> Inputs!E$12</f>
        <v>Conversie MJ naar kwh</v>
      </c>
      <c r="G858" s="191">
        <f xml:space="preserve"> Inputs!F$12</f>
        <v>0.27777800000000002</v>
      </c>
      <c r="H858" s="46" t="str">
        <f xml:space="preserve"> Inputs!G$12</f>
        <v>kwh / MJ</v>
      </c>
      <c r="J858" s="43"/>
    </row>
    <row r="859" spans="4:10" ht="1.95" customHeight="1" x14ac:dyDescent="0.3">
      <c r="D859" s="59"/>
      <c r="E859" s="118"/>
      <c r="F859" s="59"/>
      <c r="G859" s="196"/>
      <c r="H859" s="59"/>
      <c r="J859" s="43"/>
    </row>
    <row r="860" spans="4:10" ht="13.95" customHeight="1" x14ac:dyDescent="0.3">
      <c r="D860" s="59"/>
      <c r="E860" s="118"/>
      <c r="F860" s="80" t="s">
        <v>1023</v>
      </c>
      <c r="G860" s="129">
        <f>$G$853*G855*G858</f>
        <v>215853.93012960599</v>
      </c>
      <c r="H860" s="80" t="s">
        <v>1113</v>
      </c>
      <c r="J860" s="43"/>
    </row>
    <row r="861" spans="4:10" ht="13.95" customHeight="1" x14ac:dyDescent="0.3">
      <c r="D861" s="59"/>
      <c r="E861" s="118"/>
      <c r="F861" s="80" t="s">
        <v>1024</v>
      </c>
      <c r="G861" s="129">
        <f>$G$853*G856*G858</f>
        <v>434188.9399158741</v>
      </c>
      <c r="H861" s="80" t="s">
        <v>1113</v>
      </c>
      <c r="J861" s="43"/>
    </row>
    <row r="862" spans="4:10" ht="13.95" customHeight="1" x14ac:dyDescent="0.3">
      <c r="D862" s="59"/>
      <c r="E862" s="118"/>
      <c r="F862" s="59"/>
      <c r="G862" s="59"/>
      <c r="H862" s="59"/>
      <c r="J862" s="43"/>
    </row>
    <row r="863" spans="4:10" ht="13.95" customHeight="1" x14ac:dyDescent="0.3">
      <c r="D863" s="59"/>
      <c r="E863" s="118"/>
      <c r="F863" s="46" t="str">
        <f xml:space="preserve"> Inputs!E$350</f>
        <v>Elektriciteitsproductie NL, hernieuwbare energie, biomassa</v>
      </c>
      <c r="G863" s="46">
        <f xml:space="preserve"> Inputs!F$350</f>
        <v>3.2242999999999999</v>
      </c>
      <c r="H863" s="46" t="str">
        <f xml:space="preserve"> Inputs!G$350</f>
        <v>MJ-eq / kwh</v>
      </c>
      <c r="J863" s="43"/>
    </row>
    <row r="864" spans="4:10" ht="13.95" customHeight="1" x14ac:dyDescent="0.3">
      <c r="D864" s="59"/>
      <c r="E864" s="118"/>
      <c r="F864" s="46" t="str">
        <f xml:space="preserve"> Inputs!E$351</f>
        <v>Elektriciteitsproductie NL, hernieuwbare energie, geothermie</v>
      </c>
      <c r="G864" s="46">
        <f xml:space="preserve"> Inputs!F$351</f>
        <v>6.3539E-4</v>
      </c>
      <c r="H864" s="46" t="str">
        <f xml:space="preserve"> Inputs!G$351</f>
        <v>MJ-eq / kwh</v>
      </c>
      <c r="J864" s="43"/>
    </row>
    <row r="865" spans="4:10" ht="13.95" customHeight="1" x14ac:dyDescent="0.3">
      <c r="D865" s="59"/>
      <c r="E865" s="118"/>
      <c r="F865" s="46" t="str">
        <f xml:space="preserve"> Inputs!E$352</f>
        <v>Elektriciteitsproductie NL, hernieuwbare energie, zon</v>
      </c>
      <c r="G865" s="46">
        <f xml:space="preserve"> Inputs!F$352</f>
        <v>2.5720000000000002E-4</v>
      </c>
      <c r="H865" s="46" t="str">
        <f xml:space="preserve"> Inputs!G$352</f>
        <v>MJ-eq / kwh</v>
      </c>
      <c r="J865" s="43"/>
    </row>
    <row r="866" spans="4:10" ht="13.95" customHeight="1" x14ac:dyDescent="0.3">
      <c r="D866" s="59"/>
      <c r="E866" s="118"/>
      <c r="F866" s="46" t="str">
        <f xml:space="preserve"> Inputs!E$353</f>
        <v>Elektriciteitsproductie NL, hernieuwbare energie, water</v>
      </c>
      <c r="G866" s="46">
        <f xml:space="preserve"> Inputs!F$353</f>
        <v>2.9499000000000001E-2</v>
      </c>
      <c r="H866" s="46" t="str">
        <f xml:space="preserve"> Inputs!G$353</f>
        <v>MJ-eq / kwh</v>
      </c>
      <c r="J866" s="43"/>
    </row>
    <row r="867" spans="4:10" ht="13.95" customHeight="1" x14ac:dyDescent="0.3">
      <c r="D867" s="59"/>
      <c r="E867" s="118"/>
      <c r="F867" s="46" t="str">
        <f xml:space="preserve"> Inputs!E$354</f>
        <v>Elektriciteitsproductie NL, hernieuwbare energie, wind</v>
      </c>
      <c r="G867" s="46">
        <f xml:space="preserve"> Inputs!F$354</f>
        <v>6.4552999999999998E-3</v>
      </c>
      <c r="H867" s="46" t="str">
        <f xml:space="preserve"> Inputs!G$354</f>
        <v>MJ-eq / kwh</v>
      </c>
      <c r="J867" s="43"/>
    </row>
    <row r="868" spans="4:10" ht="1.95" customHeight="1" x14ac:dyDescent="0.3">
      <c r="D868" s="59"/>
      <c r="E868" s="118"/>
      <c r="F868" s="58"/>
      <c r="G868" s="58"/>
      <c r="H868" s="58"/>
      <c r="J868" s="43"/>
    </row>
    <row r="869" spans="4:10" ht="13.95" customHeight="1" x14ac:dyDescent="0.3">
      <c r="D869" s="59"/>
      <c r="E869" s="118"/>
      <c r="F869" s="46" t="str">
        <f xml:space="preserve"> Inputs!E$356</f>
        <v>Elektriciteitsproductie NL, niet-hernieuwbare energie, fossiel</v>
      </c>
      <c r="G869" s="46">
        <f xml:space="preserve"> Inputs!F$356</f>
        <v>15.563000000000001</v>
      </c>
      <c r="H869" s="46" t="str">
        <f xml:space="preserve"> Inputs!G$356</f>
        <v>MJ-eq / kwh</v>
      </c>
      <c r="J869" s="43"/>
    </row>
    <row r="870" spans="4:10" ht="13.95" customHeight="1" x14ac:dyDescent="0.3">
      <c r="D870" s="59"/>
      <c r="E870" s="118"/>
      <c r="F870" s="46" t="str">
        <f xml:space="preserve"> Inputs!E$357</f>
        <v>Elektriciteitsproductie NL, niet-hernieuwbare energie, nucleair</v>
      </c>
      <c r="G870" s="46">
        <f xml:space="preserve"> Inputs!F$357</f>
        <v>0.26207000000000003</v>
      </c>
      <c r="H870" s="46" t="str">
        <f xml:space="preserve"> Inputs!G$357</f>
        <v>MJ-eq / kwh</v>
      </c>
      <c r="J870" s="43"/>
    </row>
    <row r="871" spans="4:10" ht="13.95" customHeight="1" x14ac:dyDescent="0.3">
      <c r="D871" s="59"/>
      <c r="E871" s="118"/>
      <c r="F871" s="46" t="str">
        <f xml:space="preserve"> Inputs!E$358</f>
        <v>Elektriciteitsproductie NL, niet-hernieuwbare energie, oerbos</v>
      </c>
      <c r="G871" s="46">
        <f xml:space="preserve"> Inputs!F$358</f>
        <v>2.0896000000000001E-3</v>
      </c>
      <c r="H871" s="46" t="str">
        <f xml:space="preserve"> Inputs!G$358</f>
        <v>MJ-eq / kwh</v>
      </c>
      <c r="J871" s="43"/>
    </row>
    <row r="872" spans="4:10" ht="1.95" customHeight="1" x14ac:dyDescent="0.3">
      <c r="D872" s="59"/>
      <c r="E872" s="118"/>
      <c r="F872" s="46"/>
      <c r="G872" s="46"/>
      <c r="H872" s="46"/>
      <c r="J872" s="43"/>
    </row>
    <row r="873" spans="4:10" ht="13.95" customHeight="1" x14ac:dyDescent="0.3">
      <c r="D873" s="59"/>
      <c r="E873" s="118"/>
      <c r="F873" s="46" t="str">
        <f xml:space="preserve"> Inputs!E$360</f>
        <v>Elektriciteitsproductie NL, water</v>
      </c>
      <c r="G873" s="46">
        <f xml:space="preserve"> Inputs!F$360</f>
        <v>1.5888E-3</v>
      </c>
      <c r="H873" s="46" t="str">
        <f xml:space="preserve"> Inputs!G$360</f>
        <v>m3 / kwh</v>
      </c>
      <c r="J873" s="43"/>
    </row>
    <row r="874" spans="4:10" ht="1.95" customHeight="1" x14ac:dyDescent="0.3">
      <c r="D874" s="59"/>
      <c r="E874" s="118"/>
      <c r="F874" s="46"/>
      <c r="G874" s="46"/>
      <c r="H874" s="46"/>
      <c r="J874" s="43"/>
    </row>
    <row r="875" spans="4:10" ht="13.95" customHeight="1" x14ac:dyDescent="0.3">
      <c r="D875" s="59"/>
      <c r="E875" s="118"/>
      <c r="F875" s="46" t="str">
        <f xml:space="preserve"> Inputs!E$362</f>
        <v>Elektriciteitsproductie NL, GWP100</v>
      </c>
      <c r="G875" s="46">
        <f xml:space="preserve"> Inputs!F$362</f>
        <v>0.49099999999999999</v>
      </c>
      <c r="H875" s="46" t="str">
        <f xml:space="preserve"> Inputs!G$362</f>
        <v>kg CO2-eq / kwh</v>
      </c>
      <c r="J875" s="43"/>
    </row>
    <row r="876" spans="4:10" ht="13.95" customHeight="1" x14ac:dyDescent="0.3">
      <c r="D876" s="59"/>
      <c r="E876" s="118"/>
      <c r="F876" s="59"/>
      <c r="G876" s="59"/>
      <c r="H876" s="59"/>
      <c r="J876" s="43"/>
    </row>
    <row r="877" spans="4:10" ht="13.95" customHeight="1" x14ac:dyDescent="0.3">
      <c r="D877" s="59"/>
      <c r="E877" s="118"/>
      <c r="F877" s="68" t="s">
        <v>732</v>
      </c>
      <c r="G877" s="195">
        <f>SUM(G863:G867)</f>
        <v>3.2611468899999996</v>
      </c>
      <c r="H877" s="68" t="s">
        <v>587</v>
      </c>
      <c r="J877" s="43"/>
    </row>
    <row r="878" spans="4:10" ht="13.95" customHeight="1" x14ac:dyDescent="0.3">
      <c r="D878" s="59"/>
      <c r="E878" s="118"/>
      <c r="F878" s="68" t="s">
        <v>733</v>
      </c>
      <c r="G878" s="195">
        <f>SUM(G869:G871)</f>
        <v>15.8271596</v>
      </c>
      <c r="H878" s="68" t="s">
        <v>587</v>
      </c>
      <c r="J878" s="43"/>
    </row>
    <row r="879" spans="4:10" ht="13.95" customHeight="1" x14ac:dyDescent="0.3">
      <c r="D879" s="59"/>
      <c r="E879" s="118"/>
      <c r="F879" s="68" t="s">
        <v>585</v>
      </c>
      <c r="G879" s="195">
        <f>G873</f>
        <v>1.5888E-3</v>
      </c>
      <c r="H879" s="68" t="s">
        <v>588</v>
      </c>
      <c r="J879" s="43"/>
    </row>
    <row r="880" spans="4:10" ht="13.95" customHeight="1" x14ac:dyDescent="0.3">
      <c r="D880" s="59"/>
      <c r="E880" s="118"/>
      <c r="F880" s="68" t="s">
        <v>586</v>
      </c>
      <c r="G880" s="195">
        <f>G875</f>
        <v>0.49099999999999999</v>
      </c>
      <c r="H880" s="68" t="s">
        <v>589</v>
      </c>
      <c r="J880" s="43"/>
    </row>
    <row r="881" spans="4:10" ht="1.95" customHeight="1" x14ac:dyDescent="0.3">
      <c r="D881" s="59"/>
      <c r="E881" s="118"/>
      <c r="F881" s="59"/>
      <c r="G881" s="196"/>
      <c r="H881" s="59"/>
      <c r="J881" s="43"/>
    </row>
    <row r="882" spans="4:10" ht="13.95" customHeight="1" x14ac:dyDescent="0.3">
      <c r="D882" s="59"/>
      <c r="E882" s="118"/>
      <c r="F882" s="64" t="str">
        <f xml:space="preserve"> F$860</f>
        <v>Jaarlijkse elektriciteitsproductie, verbranding papier</v>
      </c>
      <c r="G882" s="127">
        <f xml:space="preserve"> G$860</f>
        <v>215853.93012960599</v>
      </c>
      <c r="H882" s="64" t="str">
        <f xml:space="preserve"> H$860</f>
        <v>kwh / jaar</v>
      </c>
      <c r="J882" s="43"/>
    </row>
    <row r="883" spans="4:10" ht="1.95" customHeight="1" x14ac:dyDescent="0.3">
      <c r="D883" s="59"/>
      <c r="E883" s="118"/>
      <c r="F883" s="59"/>
      <c r="G883" s="196"/>
      <c r="H883" s="59"/>
      <c r="J883" s="43"/>
    </row>
    <row r="884" spans="4:10" ht="13.95" customHeight="1" x14ac:dyDescent="0.3">
      <c r="D884" s="59"/>
      <c r="E884" s="118"/>
      <c r="F884" s="68" t="s">
        <v>1025</v>
      </c>
      <c r="G884" s="129">
        <f>G877*$G$882</f>
        <v>703931.3729364418</v>
      </c>
      <c r="H884" s="68" t="str">
        <f xml:space="preserve"> H$629</f>
        <v>MJ-eq</v>
      </c>
      <c r="J884" s="43"/>
    </row>
    <row r="885" spans="4:10" ht="13.95" customHeight="1" x14ac:dyDescent="0.3">
      <c r="D885" s="59"/>
      <c r="E885" s="118"/>
      <c r="F885" s="68" t="s">
        <v>1026</v>
      </c>
      <c r="G885" s="129">
        <f t="shared" ref="G885:G887" si="24">G878*$G$882</f>
        <v>3416354.6024485226</v>
      </c>
      <c r="H885" s="68" t="str">
        <f xml:space="preserve"> H$630</f>
        <v>MJ-eq</v>
      </c>
      <c r="J885" s="43"/>
    </row>
    <row r="886" spans="4:10" ht="13.95" customHeight="1" x14ac:dyDescent="0.3">
      <c r="D886" s="59"/>
      <c r="E886" s="118"/>
      <c r="F886" s="68" t="s">
        <v>1027</v>
      </c>
      <c r="G886" s="129">
        <f t="shared" si="24"/>
        <v>342.94872418991798</v>
      </c>
      <c r="H886" s="68" t="str">
        <f xml:space="preserve"> H$631</f>
        <v>m3</v>
      </c>
      <c r="J886" s="43"/>
    </row>
    <row r="887" spans="4:10" ht="13.95" customHeight="1" x14ac:dyDescent="0.3">
      <c r="D887" s="59"/>
      <c r="E887" s="118"/>
      <c r="F887" s="68" t="s">
        <v>1028</v>
      </c>
      <c r="G887" s="129">
        <f t="shared" si="24"/>
        <v>105984.27969363653</v>
      </c>
      <c r="H887" s="68" t="str">
        <f xml:space="preserve"> H$632</f>
        <v>kg CO2-eq</v>
      </c>
      <c r="J887" s="43"/>
    </row>
    <row r="888" spans="4:10" ht="13.95" customHeight="1" x14ac:dyDescent="0.3">
      <c r="D888" s="59"/>
      <c r="E888" s="118"/>
      <c r="F888" s="59"/>
      <c r="G888" s="59"/>
      <c r="H888" s="59"/>
      <c r="J888" s="43"/>
    </row>
    <row r="889" spans="4:10" ht="13.95" customHeight="1" x14ac:dyDescent="0.3">
      <c r="D889" s="59"/>
      <c r="E889" s="118"/>
      <c r="F889" s="46" t="str">
        <f xml:space="preserve"> Inputs!E$364</f>
        <v>Warmteproductie NL, hernieuwbare energie, biomassa</v>
      </c>
      <c r="G889" s="79">
        <f xml:space="preserve"> Inputs!F$364</f>
        <v>2.0808E-4</v>
      </c>
      <c r="H889" s="46" t="str">
        <f xml:space="preserve"> Inputs!G$364</f>
        <v>MJ-eq / kwh</v>
      </c>
      <c r="J889" s="43"/>
    </row>
    <row r="890" spans="4:10" ht="13.95" customHeight="1" x14ac:dyDescent="0.3">
      <c r="D890" s="59"/>
      <c r="E890" s="118"/>
      <c r="F890" s="46" t="str">
        <f xml:space="preserve"> Inputs!E$365</f>
        <v>Warmteproductie NL, hernieuwbare energie, geothermie</v>
      </c>
      <c r="G890" s="79">
        <f xml:space="preserve"> Inputs!F$365</f>
        <v>5.0508E-6</v>
      </c>
      <c r="H890" s="46" t="str">
        <f xml:space="preserve"> Inputs!G$365</f>
        <v>MJ-eq / kwh</v>
      </c>
    </row>
    <row r="891" spans="4:10" ht="13.95" customHeight="1" x14ac:dyDescent="0.3">
      <c r="D891" s="59"/>
      <c r="E891" s="118"/>
      <c r="F891" s="46" t="str">
        <f xml:space="preserve"> Inputs!E$366</f>
        <v>Warmteproductie NL, hernieuwbare energie, zon</v>
      </c>
      <c r="G891" s="79">
        <f xml:space="preserve"> Inputs!F$366</f>
        <v>3.8564E-7</v>
      </c>
      <c r="H891" s="46" t="str">
        <f xml:space="preserve"> Inputs!G$366</f>
        <v>MJ-eq / kwh</v>
      </c>
    </row>
    <row r="892" spans="4:10" ht="13.95" customHeight="1" x14ac:dyDescent="0.3">
      <c r="D892" s="59"/>
      <c r="E892" s="118"/>
      <c r="F892" s="46" t="str">
        <f xml:space="preserve"> Inputs!E$367</f>
        <v>Warmteproductie NL, hernieuwbare energie, water</v>
      </c>
      <c r="G892" s="79">
        <f xml:space="preserve"> Inputs!F$367</f>
        <v>3.8290999999999998E-4</v>
      </c>
      <c r="H892" s="46" t="str">
        <f xml:space="preserve"> Inputs!G$367</f>
        <v>MJ-eq / kwh</v>
      </c>
    </row>
    <row r="893" spans="4:10" ht="13.95" customHeight="1" x14ac:dyDescent="0.3">
      <c r="D893" s="59"/>
      <c r="E893" s="118"/>
      <c r="F893" s="46" t="str">
        <f xml:space="preserve"> Inputs!E$368</f>
        <v>Warmteproductie NL, hernieuwbare energie, wind</v>
      </c>
      <c r="G893" s="79">
        <f xml:space="preserve"> Inputs!F$368</f>
        <v>7.6681000000000007E-5</v>
      </c>
      <c r="H893" s="46" t="str">
        <f xml:space="preserve"> Inputs!G$368</f>
        <v>MJ-eq / kwh</v>
      </c>
    </row>
    <row r="894" spans="4:10" ht="1.95" customHeight="1" x14ac:dyDescent="0.3">
      <c r="D894" s="59"/>
      <c r="E894" s="118"/>
      <c r="F894" s="46"/>
      <c r="G894" s="79"/>
      <c r="H894" s="46"/>
    </row>
    <row r="895" spans="4:10" ht="13.95" customHeight="1" x14ac:dyDescent="0.3">
      <c r="D895" s="59"/>
      <c r="E895" s="118"/>
      <c r="F895" s="46" t="str">
        <f xml:space="preserve"> Inputs!E$370</f>
        <v>Warmteproductie NL, niet-hernieuwbare energie, fossiel</v>
      </c>
      <c r="G895" s="79">
        <f xml:space="preserve"> Inputs!F$370</f>
        <v>0.51809000000000005</v>
      </c>
      <c r="H895" s="46" t="str">
        <f xml:space="preserve"> Inputs!G$370</f>
        <v>MJ-eq / kwh</v>
      </c>
    </row>
    <row r="896" spans="4:10" ht="13.95" customHeight="1" x14ac:dyDescent="0.3">
      <c r="D896" s="59"/>
      <c r="E896" s="118"/>
      <c r="F896" s="46" t="str">
        <f xml:space="preserve"> Inputs!E$371</f>
        <v>Warmteproductie NL, niet-hernieuwbare energie, nucleair</v>
      </c>
      <c r="G896" s="79">
        <f xml:space="preserve"> Inputs!F$371</f>
        <v>5.9409999999999997E-4</v>
      </c>
      <c r="H896" s="46" t="str">
        <f xml:space="preserve"> Inputs!G$371</f>
        <v>MJ-eq / kwh</v>
      </c>
    </row>
    <row r="897" spans="4:8" ht="13.95" customHeight="1" x14ac:dyDescent="0.3">
      <c r="D897" s="59"/>
      <c r="E897" s="118"/>
      <c r="F897" s="46" t="str">
        <f xml:space="preserve"> Inputs!E$372</f>
        <v>Warmteproductie NL, niet-hernieuwbare energie, oerbos</v>
      </c>
      <c r="G897" s="79">
        <f xml:space="preserve"> Inputs!F$372</f>
        <v>8.5758000000000003E-7</v>
      </c>
      <c r="H897" s="46" t="str">
        <f xml:space="preserve"> Inputs!G$372</f>
        <v>MJ-eq / kwh</v>
      </c>
    </row>
    <row r="898" spans="4:8" ht="1.95" customHeight="1" x14ac:dyDescent="0.3">
      <c r="D898" s="59"/>
      <c r="E898" s="118"/>
      <c r="F898" s="46"/>
      <c r="G898" s="79"/>
      <c r="H898" s="46"/>
    </row>
    <row r="899" spans="4:8" ht="13.95" customHeight="1" x14ac:dyDescent="0.3">
      <c r="D899" s="59"/>
      <c r="E899" s="118"/>
      <c r="F899" s="46" t="str">
        <f xml:space="preserve"> Inputs!E$374</f>
        <v>Warmteproductie NL, water</v>
      </c>
      <c r="G899" s="79">
        <f xml:space="preserve"> Inputs!F$374</f>
        <v>9.8060999999999995E-5</v>
      </c>
      <c r="H899" s="46" t="str">
        <f xml:space="preserve"> Inputs!G$374</f>
        <v>m3 / kwh</v>
      </c>
    </row>
    <row r="900" spans="4:8" ht="1.95" customHeight="1" x14ac:dyDescent="0.3">
      <c r="D900" s="59"/>
      <c r="E900" s="118"/>
      <c r="F900" s="46"/>
      <c r="G900" s="79"/>
      <c r="H900" s="46"/>
    </row>
    <row r="901" spans="4:8" ht="13.95" customHeight="1" x14ac:dyDescent="0.3">
      <c r="D901" s="59"/>
      <c r="E901" s="118"/>
      <c r="F901" s="46" t="str">
        <f xml:space="preserve"> Inputs!E$376</f>
        <v>Warmteproductie NL, GWP100</v>
      </c>
      <c r="G901" s="79">
        <f xml:space="preserve"> Inputs!F$376</f>
        <v>2.6577E-2</v>
      </c>
      <c r="H901" s="46" t="str">
        <f xml:space="preserve"> Inputs!G$376</f>
        <v>kg CO2-eq / kwh</v>
      </c>
    </row>
    <row r="902" spans="4:8" ht="13.95" customHeight="1" x14ac:dyDescent="0.3">
      <c r="D902" s="59"/>
      <c r="E902" s="118"/>
      <c r="F902" s="59"/>
      <c r="G902" s="59"/>
      <c r="H902" s="59"/>
    </row>
    <row r="903" spans="4:8" ht="13.95" customHeight="1" x14ac:dyDescent="0.3">
      <c r="D903" s="59"/>
      <c r="E903" s="118"/>
      <c r="F903" s="68" t="s">
        <v>748</v>
      </c>
      <c r="G903" s="75">
        <f>SUM(G889:G893)</f>
        <v>6.7310743999999991E-4</v>
      </c>
      <c r="H903" s="68" t="s">
        <v>587</v>
      </c>
    </row>
    <row r="904" spans="4:8" ht="13.95" customHeight="1" x14ac:dyDescent="0.3">
      <c r="D904" s="59"/>
      <c r="E904" s="118"/>
      <c r="F904" s="68" t="s">
        <v>749</v>
      </c>
      <c r="G904" s="75">
        <f>SUM(G895:G897)</f>
        <v>0.51868495758000011</v>
      </c>
      <c r="H904" s="68" t="s">
        <v>587</v>
      </c>
    </row>
    <row r="905" spans="4:8" ht="13.95" customHeight="1" x14ac:dyDescent="0.3">
      <c r="D905" s="59"/>
      <c r="E905" s="118"/>
      <c r="F905" s="68" t="s">
        <v>746</v>
      </c>
      <c r="G905" s="75">
        <f>G899</f>
        <v>9.8060999999999995E-5</v>
      </c>
      <c r="H905" s="68" t="s">
        <v>588</v>
      </c>
    </row>
    <row r="906" spans="4:8" ht="13.95" customHeight="1" x14ac:dyDescent="0.3">
      <c r="D906" s="59"/>
      <c r="E906" s="118"/>
      <c r="F906" s="68" t="s">
        <v>747</v>
      </c>
      <c r="G906" s="75">
        <f>G901</f>
        <v>2.6577E-2</v>
      </c>
      <c r="H906" s="68" t="s">
        <v>589</v>
      </c>
    </row>
    <row r="907" spans="4:8" ht="1.95" customHeight="1" x14ac:dyDescent="0.3">
      <c r="D907" s="59"/>
      <c r="E907" s="118"/>
      <c r="F907" s="59"/>
      <c r="G907" s="59"/>
      <c r="H907" s="59"/>
    </row>
    <row r="908" spans="4:8" ht="13.95" customHeight="1" x14ac:dyDescent="0.3">
      <c r="D908" s="59"/>
      <c r="E908" s="118"/>
      <c r="F908" s="64" t="str">
        <f xml:space="preserve"> F$861</f>
        <v>Jaarlijkse warmteproductie, verbranding papier</v>
      </c>
      <c r="G908" s="97">
        <f xml:space="preserve"> G$861</f>
        <v>434188.9399158741</v>
      </c>
      <c r="H908" s="64" t="str">
        <f xml:space="preserve"> H$861</f>
        <v>kwh / jaar</v>
      </c>
    </row>
    <row r="909" spans="4:8" ht="1.95" customHeight="1" x14ac:dyDescent="0.3">
      <c r="D909" s="59"/>
      <c r="E909" s="118"/>
      <c r="F909" s="59"/>
      <c r="G909" s="59"/>
      <c r="H909" s="59"/>
    </row>
    <row r="910" spans="4:8" ht="13.95" customHeight="1" x14ac:dyDescent="0.3">
      <c r="D910" s="59"/>
      <c r="E910" s="118"/>
      <c r="F910" s="68" t="s">
        <v>1029</v>
      </c>
      <c r="G910" s="73">
        <f>G903*$G$908</f>
        <v>292.25580582308777</v>
      </c>
      <c r="H910" s="68" t="str">
        <f xml:space="preserve"> H$629</f>
        <v>MJ-eq</v>
      </c>
    </row>
    <row r="911" spans="4:8" ht="13.95" customHeight="1" x14ac:dyDescent="0.3">
      <c r="D911" s="59"/>
      <c r="E911" s="118"/>
      <c r="F911" s="68" t="s">
        <v>1030</v>
      </c>
      <c r="G911" s="73">
        <f t="shared" ref="G911:G913" si="25">G904*$G$908</f>
        <v>225207.27188197037</v>
      </c>
      <c r="H911" s="68" t="str">
        <f xml:space="preserve"> H$630</f>
        <v>MJ-eq</v>
      </c>
    </row>
    <row r="912" spans="4:8" ht="13.95" customHeight="1" x14ac:dyDescent="0.3">
      <c r="D912" s="59"/>
      <c r="E912" s="118"/>
      <c r="F912" s="68" t="s">
        <v>1031</v>
      </c>
      <c r="G912" s="73">
        <f t="shared" si="25"/>
        <v>42.577001637090525</v>
      </c>
      <c r="H912" s="68" t="str">
        <f xml:space="preserve"> H$631</f>
        <v>m3</v>
      </c>
    </row>
    <row r="913" spans="4:8" ht="13.95" customHeight="1" x14ac:dyDescent="0.3">
      <c r="D913" s="59"/>
      <c r="E913" s="118"/>
      <c r="F913" s="68" t="s">
        <v>1032</v>
      </c>
      <c r="G913" s="73">
        <f t="shared" si="25"/>
        <v>11539.439456144186</v>
      </c>
      <c r="H913" s="68" t="str">
        <f xml:space="preserve"> H$632</f>
        <v>kg CO2-eq</v>
      </c>
    </row>
    <row r="914" spans="4:8" ht="13.95" customHeight="1" x14ac:dyDescent="0.3">
      <c r="D914" s="59"/>
      <c r="E914" s="118"/>
      <c r="F914" s="59"/>
      <c r="G914" s="59"/>
      <c r="H914" s="59"/>
    </row>
    <row r="915" spans="4:8" ht="13.95" customHeight="1" x14ac:dyDescent="0.3">
      <c r="D915" s="59"/>
      <c r="E915" s="118"/>
      <c r="F915" s="64" t="str">
        <f xml:space="preserve"> F$884</f>
        <v>Totale impact elektriciteitsproductie papierverbranden, hernieuwbare energie</v>
      </c>
      <c r="G915" s="127">
        <f xml:space="preserve"> G$884</f>
        <v>703931.3729364418</v>
      </c>
      <c r="H915" s="64" t="str">
        <f xml:space="preserve"> H$884</f>
        <v>MJ-eq</v>
      </c>
    </row>
    <row r="916" spans="4:8" ht="13.95" customHeight="1" x14ac:dyDescent="0.3">
      <c r="D916" s="59"/>
      <c r="E916" s="118"/>
      <c r="F916" s="64" t="str">
        <f xml:space="preserve"> F$885</f>
        <v>Totale impact elektriciteitsproductie papierverbranden, niet-hernieuwbare energie</v>
      </c>
      <c r="G916" s="127">
        <f xml:space="preserve"> G$885</f>
        <v>3416354.6024485226</v>
      </c>
      <c r="H916" s="64" t="str">
        <f xml:space="preserve"> H$885</f>
        <v>MJ-eq</v>
      </c>
    </row>
    <row r="917" spans="4:8" ht="13.95" customHeight="1" x14ac:dyDescent="0.3">
      <c r="D917" s="59"/>
      <c r="E917" s="118"/>
      <c r="F917" s="64" t="str">
        <f xml:space="preserve"> F$886</f>
        <v>Totale impact elektriciteitsproductie papierverbranden, water</v>
      </c>
      <c r="G917" s="127">
        <f xml:space="preserve"> G$886</f>
        <v>342.94872418991798</v>
      </c>
      <c r="H917" s="64" t="str">
        <f xml:space="preserve"> H$886</f>
        <v>m3</v>
      </c>
    </row>
    <row r="918" spans="4:8" ht="13.95" customHeight="1" x14ac:dyDescent="0.3">
      <c r="D918" s="59"/>
      <c r="E918" s="118"/>
      <c r="F918" s="64" t="str">
        <f xml:space="preserve"> F$887</f>
        <v>Totale impact elektriciteitsproductie papierverbranden, GWP100</v>
      </c>
      <c r="G918" s="127">
        <f xml:space="preserve"> G$887</f>
        <v>105984.27969363653</v>
      </c>
      <c r="H918" s="64" t="str">
        <f xml:space="preserve"> H$887</f>
        <v>kg CO2-eq</v>
      </c>
    </row>
    <row r="919" spans="4:8" ht="1.95" customHeight="1" x14ac:dyDescent="0.3">
      <c r="D919" s="59"/>
      <c r="E919" s="118"/>
      <c r="F919" s="107"/>
      <c r="G919" s="196"/>
      <c r="H919" s="59"/>
    </row>
    <row r="920" spans="4:8" ht="13.95" customHeight="1" x14ac:dyDescent="0.3">
      <c r="D920" s="59"/>
      <c r="E920" s="118"/>
      <c r="F920" s="64" t="str">
        <f xml:space="preserve"> F$910</f>
        <v>Totale impact warmteproductie papierverbranden, hernieuwbare energie</v>
      </c>
      <c r="G920" s="127">
        <f xml:space="preserve"> G$910</f>
        <v>292.25580582308777</v>
      </c>
      <c r="H920" s="64" t="str">
        <f xml:space="preserve"> H$910</f>
        <v>MJ-eq</v>
      </c>
    </row>
    <row r="921" spans="4:8" ht="13.95" customHeight="1" x14ac:dyDescent="0.3">
      <c r="D921" s="59"/>
      <c r="E921" s="118"/>
      <c r="F921" s="64" t="str">
        <f xml:space="preserve"> F$911</f>
        <v>Totale impact warmteproductie papierverbranden, niet-hernieuwbare energie</v>
      </c>
      <c r="G921" s="127">
        <f xml:space="preserve"> G$911</f>
        <v>225207.27188197037</v>
      </c>
      <c r="H921" s="64" t="str">
        <f xml:space="preserve"> H$911</f>
        <v>MJ-eq</v>
      </c>
    </row>
    <row r="922" spans="4:8" ht="13.95" customHeight="1" x14ac:dyDescent="0.3">
      <c r="D922" s="59"/>
      <c r="E922" s="118"/>
      <c r="F922" s="64" t="str">
        <f xml:space="preserve"> F$912</f>
        <v>Totale impact warmteproductie papierverbranden, water</v>
      </c>
      <c r="G922" s="127">
        <f xml:space="preserve"> G$912</f>
        <v>42.577001637090525</v>
      </c>
      <c r="H922" s="64" t="str">
        <f xml:space="preserve"> H$912</f>
        <v>m3</v>
      </c>
    </row>
    <row r="923" spans="4:8" ht="13.95" customHeight="1" x14ac:dyDescent="0.3">
      <c r="D923" s="59"/>
      <c r="E923" s="118"/>
      <c r="F923" s="64" t="str">
        <f xml:space="preserve"> F$913</f>
        <v>Totale impact warmteproductie papierverbranden, GWP100</v>
      </c>
      <c r="G923" s="127">
        <f xml:space="preserve"> G$913</f>
        <v>11539.439456144186</v>
      </c>
      <c r="H923" s="64" t="str">
        <f xml:space="preserve"> H$913</f>
        <v>kg CO2-eq</v>
      </c>
    </row>
    <row r="924" spans="4:8" ht="1.95" customHeight="1" x14ac:dyDescent="0.3">
      <c r="D924" s="59"/>
      <c r="E924" s="118"/>
      <c r="F924" s="107"/>
      <c r="G924" s="196"/>
      <c r="H924" s="59"/>
    </row>
    <row r="925" spans="4:8" ht="13.95" customHeight="1" x14ac:dyDescent="0.3">
      <c r="D925" s="59"/>
      <c r="E925" s="118"/>
      <c r="F925" s="80" t="s">
        <v>1033</v>
      </c>
      <c r="G925" s="129">
        <f>(G915+G920)*-1</f>
        <v>-704223.62874226493</v>
      </c>
      <c r="H925" s="68" t="str">
        <f xml:space="preserve"> H$1093</f>
        <v>MJ-eq</v>
      </c>
    </row>
    <row r="926" spans="4:8" ht="13.95" customHeight="1" x14ac:dyDescent="0.3">
      <c r="D926" s="59"/>
      <c r="E926" s="118"/>
      <c r="F926" s="80" t="s">
        <v>1034</v>
      </c>
      <c r="G926" s="129">
        <f t="shared" ref="G926:G928" si="26">(G916+G921)*-1</f>
        <v>-3641561.8743304932</v>
      </c>
      <c r="H926" s="68" t="str">
        <f xml:space="preserve"> H$1094</f>
        <v>MJ-eq</v>
      </c>
    </row>
    <row r="927" spans="4:8" ht="13.95" customHeight="1" x14ac:dyDescent="0.3">
      <c r="D927" s="59"/>
      <c r="E927" s="118"/>
      <c r="F927" s="80" t="s">
        <v>1035</v>
      </c>
      <c r="G927" s="129">
        <f t="shared" si="26"/>
        <v>-385.5257258270085</v>
      </c>
      <c r="H927" s="68" t="str">
        <f xml:space="preserve"> H$1095</f>
        <v>m3</v>
      </c>
    </row>
    <row r="928" spans="4:8" ht="13.95" customHeight="1" x14ac:dyDescent="0.3">
      <c r="D928" s="59"/>
      <c r="E928" s="118"/>
      <c r="F928" s="80" t="s">
        <v>1036</v>
      </c>
      <c r="G928" s="129">
        <f t="shared" si="26"/>
        <v>-117523.71914978072</v>
      </c>
      <c r="H928" s="68" t="str">
        <f xml:space="preserve"> H$1096</f>
        <v>kg CO2-eq</v>
      </c>
    </row>
    <row r="929" spans="4:11" ht="13.95" customHeight="1" x14ac:dyDescent="0.3">
      <c r="D929" s="59"/>
      <c r="E929" s="118"/>
      <c r="F929" s="59"/>
      <c r="G929" s="59"/>
      <c r="H929" s="59"/>
    </row>
    <row r="930" spans="4:11" ht="13.95" customHeight="1" x14ac:dyDescent="0.3">
      <c r="D930" s="80" t="s">
        <v>1014</v>
      </c>
      <c r="E930" s="118"/>
      <c r="F930" s="59"/>
      <c r="G930" s="59"/>
      <c r="H930" s="59"/>
    </row>
    <row r="931" spans="4:11" ht="13.95" customHeight="1" x14ac:dyDescent="0.3">
      <c r="D931" s="59"/>
      <c r="E931" s="118"/>
      <c r="F931" s="95" t="str">
        <f xml:space="preserve"> F$819</f>
        <v>Totale impact verwerken gescheiden papier, hernieuwbare energie</v>
      </c>
      <c r="G931" s="133">
        <f xml:space="preserve"> G$819</f>
        <v>-12340621.7711631</v>
      </c>
      <c r="H931" s="95" t="str">
        <f xml:space="preserve"> H$819</f>
        <v>MJ-eq</v>
      </c>
      <c r="K931" s="43"/>
    </row>
    <row r="932" spans="4:11" ht="13.95" customHeight="1" x14ac:dyDescent="0.3">
      <c r="D932" s="59"/>
      <c r="E932" s="118"/>
      <c r="F932" s="95" t="str">
        <f xml:space="preserve"> F$820</f>
        <v>Totale impact verwerken gescheiden papier, niet-hernieuwbare energie</v>
      </c>
      <c r="G932" s="133">
        <f xml:space="preserve"> G$820</f>
        <v>-6440401.7664629146</v>
      </c>
      <c r="H932" s="95" t="str">
        <f xml:space="preserve"> H$820</f>
        <v>MJ-eq</v>
      </c>
      <c r="K932" s="43"/>
    </row>
    <row r="933" spans="4:11" ht="13.95" customHeight="1" x14ac:dyDescent="0.3">
      <c r="D933" s="59"/>
      <c r="E933" s="118"/>
      <c r="F933" s="95" t="str">
        <f xml:space="preserve"> F$821</f>
        <v>Totale impact verwerken gescheiden papier, water</v>
      </c>
      <c r="G933" s="133">
        <f xml:space="preserve"> G$821</f>
        <v>-3267.4450236748335</v>
      </c>
      <c r="H933" s="95" t="str">
        <f xml:space="preserve"> H$821</f>
        <v>m3</v>
      </c>
      <c r="K933" s="43"/>
    </row>
    <row r="934" spans="4:11" ht="13.95" customHeight="1" x14ac:dyDescent="0.3">
      <c r="D934" s="59"/>
      <c r="E934" s="118"/>
      <c r="F934" s="95" t="str">
        <f xml:space="preserve"> F$822</f>
        <v>Totale impact verwerken gescheiden papier, GWP100</v>
      </c>
      <c r="G934" s="133">
        <f xml:space="preserve"> G$822</f>
        <v>-158902.22489363037</v>
      </c>
      <c r="H934" s="95" t="str">
        <f xml:space="preserve"> H$822</f>
        <v>kg CO2-eq</v>
      </c>
      <c r="K934" s="43"/>
    </row>
    <row r="935" spans="4:11" ht="13.95" customHeight="1" x14ac:dyDescent="0.3">
      <c r="D935" s="59"/>
      <c r="E935" s="118"/>
      <c r="F935" s="117"/>
      <c r="G935" s="134"/>
      <c r="H935" s="117"/>
      <c r="K935" s="43"/>
    </row>
    <row r="936" spans="4:11" ht="13.95" customHeight="1" x14ac:dyDescent="0.3">
      <c r="D936" s="59"/>
      <c r="E936" s="118"/>
      <c r="F936" s="95" t="str">
        <f xml:space="preserve"> F$847</f>
        <v>Totale impact verbranden restafval papier, hernieuwbare energie</v>
      </c>
      <c r="G936" s="133">
        <f xml:space="preserve"> G$847</f>
        <v>3987.659985369442</v>
      </c>
      <c r="H936" s="95" t="str">
        <f xml:space="preserve"> H$847</f>
        <v>MJ-eq</v>
      </c>
      <c r="K936" s="43"/>
    </row>
    <row r="937" spans="4:11" ht="13.95" customHeight="1" x14ac:dyDescent="0.3">
      <c r="D937" s="59"/>
      <c r="E937" s="118"/>
      <c r="F937" s="95" t="str">
        <f xml:space="preserve"> F$848</f>
        <v>Totale impact verbranden restafval papier, niet-hernieuwbare energie</v>
      </c>
      <c r="G937" s="133">
        <f xml:space="preserve"> G$848</f>
        <v>99063.360287532676</v>
      </c>
      <c r="H937" s="95" t="str">
        <f xml:space="preserve"> H$848</f>
        <v>MJ-eq</v>
      </c>
      <c r="K937" s="43"/>
    </row>
    <row r="938" spans="4:11" ht="13.95" customHeight="1" x14ac:dyDescent="0.3">
      <c r="D938" s="59"/>
      <c r="E938" s="118"/>
      <c r="F938" s="95" t="str">
        <f xml:space="preserve"> F$849</f>
        <v>Totale impact verbranden restafval papier, water</v>
      </c>
      <c r="G938" s="133">
        <f xml:space="preserve"> G$849</f>
        <v>302.02257741928275</v>
      </c>
      <c r="H938" s="95" t="str">
        <f xml:space="preserve"> H$849</f>
        <v>m3</v>
      </c>
      <c r="K938" s="43"/>
    </row>
    <row r="939" spans="4:11" ht="13.95" customHeight="1" x14ac:dyDescent="0.3">
      <c r="D939" s="59"/>
      <c r="E939" s="118"/>
      <c r="F939" s="95" t="str">
        <f xml:space="preserve"> F$850</f>
        <v>Totale impact verbranden restafval papier, GWP100</v>
      </c>
      <c r="G939" s="133">
        <f xml:space="preserve"> G$850</f>
        <v>14160.601947138193</v>
      </c>
      <c r="H939" s="95" t="str">
        <f xml:space="preserve"> H$850</f>
        <v>kg CO2-eq</v>
      </c>
      <c r="K939" s="43"/>
    </row>
    <row r="940" spans="4:11" ht="13.95" customHeight="1" x14ac:dyDescent="0.3">
      <c r="D940" s="59"/>
      <c r="E940" s="118"/>
      <c r="F940" s="114"/>
      <c r="G940" s="130"/>
      <c r="H940" s="114"/>
      <c r="K940" s="43"/>
    </row>
    <row r="941" spans="4:11" ht="13.95" customHeight="1" x14ac:dyDescent="0.3">
      <c r="D941" s="59"/>
      <c r="E941" s="118"/>
      <c r="F941" s="64" t="str">
        <f xml:space="preserve"> F$925</f>
        <v>Totale impact energieproductie papierverbranden, hernieuwbare energie</v>
      </c>
      <c r="G941" s="127">
        <f xml:space="preserve"> G$925</f>
        <v>-704223.62874226493</v>
      </c>
      <c r="H941" s="64" t="str">
        <f xml:space="preserve"> H$925</f>
        <v>MJ-eq</v>
      </c>
      <c r="K941" s="43"/>
    </row>
    <row r="942" spans="4:11" ht="13.95" customHeight="1" x14ac:dyDescent="0.3">
      <c r="D942" s="59"/>
      <c r="E942" s="118"/>
      <c r="F942" s="64" t="str">
        <f xml:space="preserve"> F$926</f>
        <v>Totale impact energieproductie papierverbranden, niet-hernieuwbare energie</v>
      </c>
      <c r="G942" s="127">
        <f xml:space="preserve"> G$926</f>
        <v>-3641561.8743304932</v>
      </c>
      <c r="H942" s="64" t="str">
        <f xml:space="preserve"> H$926</f>
        <v>MJ-eq</v>
      </c>
      <c r="K942" s="43"/>
    </row>
    <row r="943" spans="4:11" ht="13.95" customHeight="1" x14ac:dyDescent="0.3">
      <c r="D943" s="59"/>
      <c r="E943" s="118"/>
      <c r="F943" s="64" t="str">
        <f xml:space="preserve"> F$927</f>
        <v>Totale impact energieproductie papierverbranden, water</v>
      </c>
      <c r="G943" s="127">
        <f xml:space="preserve"> G$927</f>
        <v>-385.5257258270085</v>
      </c>
      <c r="H943" s="64" t="str">
        <f xml:space="preserve"> H$927</f>
        <v>m3</v>
      </c>
      <c r="K943" s="43"/>
    </row>
    <row r="944" spans="4:11" ht="13.95" customHeight="1" x14ac:dyDescent="0.3">
      <c r="D944" s="59"/>
      <c r="E944" s="118"/>
      <c r="F944" s="64" t="str">
        <f xml:space="preserve"> F$928</f>
        <v>Totale impact energieproductie papierverbranden, GWP100</v>
      </c>
      <c r="G944" s="127">
        <f xml:space="preserve"> G$928</f>
        <v>-117523.71914978072</v>
      </c>
      <c r="H944" s="64" t="str">
        <f xml:space="preserve"> H$928</f>
        <v>kg CO2-eq</v>
      </c>
      <c r="K944" s="43"/>
    </row>
    <row r="945" spans="3:11" ht="13.95" customHeight="1" x14ac:dyDescent="0.3">
      <c r="D945" s="59"/>
      <c r="E945" s="118"/>
      <c r="F945" s="59"/>
      <c r="G945" s="59"/>
      <c r="H945" s="59"/>
      <c r="K945" s="43"/>
    </row>
    <row r="946" spans="3:11" ht="13.95" customHeight="1" x14ac:dyDescent="0.3">
      <c r="D946" s="59"/>
      <c r="E946" s="118"/>
      <c r="F946" s="80" t="s">
        <v>1037</v>
      </c>
      <c r="G946" s="190">
        <f>G931+G936+G941</f>
        <v>-13040857.739919996</v>
      </c>
      <c r="H946" s="68" t="str">
        <f xml:space="preserve"> H$1108</f>
        <v>MJ-eq</v>
      </c>
      <c r="K946" s="43"/>
    </row>
    <row r="947" spans="3:11" ht="13.95" customHeight="1" x14ac:dyDescent="0.3">
      <c r="D947" s="59"/>
      <c r="E947" s="118"/>
      <c r="F947" s="80" t="s">
        <v>1038</v>
      </c>
      <c r="G947" s="190">
        <f t="shared" ref="G947:G949" si="27">G932+G937+G942</f>
        <v>-9982900.2805058751</v>
      </c>
      <c r="H947" s="68" t="str">
        <f xml:space="preserve"> H$1109</f>
        <v>MJ-eq</v>
      </c>
      <c r="K947" s="43"/>
    </row>
    <row r="948" spans="3:11" ht="13.95" customHeight="1" x14ac:dyDescent="0.3">
      <c r="D948" s="59"/>
      <c r="E948" s="118"/>
      <c r="F948" s="80" t="s">
        <v>1039</v>
      </c>
      <c r="G948" s="190">
        <f t="shared" si="27"/>
        <v>-3350.9481720825593</v>
      </c>
      <c r="H948" s="68" t="str">
        <f xml:space="preserve"> H$1110</f>
        <v>m3</v>
      </c>
      <c r="K948" s="43"/>
    </row>
    <row r="949" spans="3:11" ht="13.95" customHeight="1" x14ac:dyDescent="0.3">
      <c r="D949" s="59"/>
      <c r="E949" s="118"/>
      <c r="F949" s="80" t="s">
        <v>1040</v>
      </c>
      <c r="G949" s="190">
        <f t="shared" si="27"/>
        <v>-262265.34209627286</v>
      </c>
      <c r="H949" s="68" t="str">
        <f xml:space="preserve"> H$1111</f>
        <v>kg CO2-eq</v>
      </c>
      <c r="K949" s="43"/>
    </row>
    <row r="950" spans="3:11" ht="13.95" customHeight="1" x14ac:dyDescent="0.3">
      <c r="K950" s="43"/>
    </row>
    <row r="951" spans="3:11" ht="13.95" customHeight="1" x14ac:dyDescent="0.3">
      <c r="C951" s="57" t="s">
        <v>704</v>
      </c>
    </row>
    <row r="952" spans="3:11" ht="13.95" customHeight="1" x14ac:dyDescent="0.3">
      <c r="D952" t="s">
        <v>724</v>
      </c>
    </row>
    <row r="953" spans="3:11" ht="13.95" customHeight="1" x14ac:dyDescent="0.3">
      <c r="F953" s="46" t="str">
        <f xml:space="preserve"> Inputs!E$284</f>
        <v>Vermeden virgin granulaatproductie, hernieuwbare energie, biomassa</v>
      </c>
      <c r="G953" s="46">
        <f xml:space="preserve"> Inputs!F$284</f>
        <v>0.35518</v>
      </c>
      <c r="H953" s="46" t="str">
        <f xml:space="preserve"> Inputs!G$284</f>
        <v>MJ-eq / kg</v>
      </c>
    </row>
    <row r="954" spans="3:11" ht="13.95" customHeight="1" x14ac:dyDescent="0.3">
      <c r="F954" s="46" t="str">
        <f xml:space="preserve"> Inputs!E$285</f>
        <v>Vermeden virgin granulaatproductie, hernieuwbare energie, geothermie</v>
      </c>
      <c r="G954" s="46">
        <f xml:space="preserve"> Inputs!F$285</f>
        <v>1.3577000000000001E-2</v>
      </c>
      <c r="H954" s="46" t="str">
        <f xml:space="preserve"> Inputs!G$285</f>
        <v>MJ-eq / kg</v>
      </c>
    </row>
    <row r="955" spans="3:11" ht="13.95" customHeight="1" x14ac:dyDescent="0.3">
      <c r="F955" s="46" t="str">
        <f xml:space="preserve"> Inputs!E$286</f>
        <v>Vermeden virgin granulaatproductie, hernieuwbare energie, zon</v>
      </c>
      <c r="G955" s="46">
        <f xml:space="preserve"> Inputs!F$286</f>
        <v>7.8949000000000001E-4</v>
      </c>
      <c r="H955" s="46" t="str">
        <f xml:space="preserve"> Inputs!G$286</f>
        <v>MJ-eq / kg</v>
      </c>
    </row>
    <row r="956" spans="3:11" ht="13.95" customHeight="1" x14ac:dyDescent="0.3">
      <c r="F956" s="46" t="str">
        <f xml:space="preserve"> Inputs!E$287</f>
        <v>Vermeden virgin granulaatproductie, hernieuwbare energie, water</v>
      </c>
      <c r="G956" s="46">
        <f xml:space="preserve"> Inputs!F$287</f>
        <v>0.50136999999999998</v>
      </c>
      <c r="H956" s="46" t="str">
        <f xml:space="preserve"> Inputs!G$287</f>
        <v>MJ-eq / kg</v>
      </c>
    </row>
    <row r="957" spans="3:11" ht="13.95" customHeight="1" x14ac:dyDescent="0.3">
      <c r="F957" s="46" t="str">
        <f xml:space="preserve"> Inputs!E$288</f>
        <v>Vermeden virgin granulaatproductie, hernieuwbare energie, wind</v>
      </c>
      <c r="G957" s="46">
        <f xml:space="preserve"> Inputs!F$288</f>
        <v>9.9664000000000003E-2</v>
      </c>
      <c r="H957" s="46" t="str">
        <f xml:space="preserve"> Inputs!G$288</f>
        <v>MJ-eq / kg</v>
      </c>
    </row>
    <row r="958" spans="3:11" ht="1.95" customHeight="1" x14ac:dyDescent="0.3">
      <c r="F958" s="46"/>
      <c r="G958" s="46"/>
      <c r="H958" s="46"/>
    </row>
    <row r="959" spans="3:11" ht="13.95" customHeight="1" x14ac:dyDescent="0.3">
      <c r="F959" s="46" t="str">
        <f xml:space="preserve"> Inputs!E$290</f>
        <v>Vermeden virgin granulaatproductie, niet-hernieuwbare energie, fossiel</v>
      </c>
      <c r="G959" s="46">
        <f xml:space="preserve"> Inputs!F$290</f>
        <v>74.855000000000004</v>
      </c>
      <c r="H959" s="46" t="str">
        <f xml:space="preserve"> Inputs!G$290</f>
        <v>MJ-eq / kg</v>
      </c>
    </row>
    <row r="960" spans="3:11" ht="13.95" customHeight="1" x14ac:dyDescent="0.3">
      <c r="F960" s="46" t="str">
        <f xml:space="preserve"> Inputs!E$291</f>
        <v>Vermeden virgin granulaatproductie, niet-hernieuwbare energie, nucleair</v>
      </c>
      <c r="G960" s="46">
        <f xml:space="preserve"> Inputs!F$291</f>
        <v>2.5363000000000002</v>
      </c>
      <c r="H960" s="46" t="str">
        <f xml:space="preserve"> Inputs!G$291</f>
        <v>MJ-eq / kg</v>
      </c>
    </row>
    <row r="961" spans="6:8" ht="13.95" customHeight="1" x14ac:dyDescent="0.3">
      <c r="F961" s="46" t="str">
        <f xml:space="preserve"> Inputs!E$292</f>
        <v>Vermeden virgin granulaatproductie, niet-hernieuwbare energie, oerbos</v>
      </c>
      <c r="G961" s="46">
        <f xml:space="preserve"> Inputs!F$292</f>
        <v>5.7304999999999997E-4</v>
      </c>
      <c r="H961" s="46" t="str">
        <f xml:space="preserve"> Inputs!G$292</f>
        <v>MJ-eq / kg</v>
      </c>
    </row>
    <row r="962" spans="6:8" ht="1.95" customHeight="1" x14ac:dyDescent="0.3">
      <c r="F962" s="46"/>
      <c r="G962" s="46"/>
      <c r="H962" s="46"/>
    </row>
    <row r="963" spans="6:8" ht="13.95" customHeight="1" x14ac:dyDescent="0.3">
      <c r="F963" s="46" t="str">
        <f xml:space="preserve"> Inputs!E$294</f>
        <v>Vermeden virgin granulaatproductie, water</v>
      </c>
      <c r="G963" s="46">
        <f xml:space="preserve"> Inputs!F$294</f>
        <v>6.8741000000000002E-3</v>
      </c>
      <c r="H963" s="46" t="str">
        <f xml:space="preserve"> Inputs!G$294</f>
        <v>m3 / kg</v>
      </c>
    </row>
    <row r="964" spans="6:8" ht="1.95" customHeight="1" x14ac:dyDescent="0.3">
      <c r="F964" s="46"/>
      <c r="G964" s="46"/>
      <c r="H964" s="46"/>
    </row>
    <row r="965" spans="6:8" ht="13.95" customHeight="1" x14ac:dyDescent="0.3">
      <c r="F965" s="46" t="str">
        <f xml:space="preserve"> Inputs!E$296</f>
        <v>Vermeden virgin granulaatproductie, GWP100</v>
      </c>
      <c r="G965" s="46">
        <f xml:space="preserve"> Inputs!F$296</f>
        <v>2.2652000000000001</v>
      </c>
      <c r="H965" s="46" t="str">
        <f xml:space="preserve"> Inputs!G$296</f>
        <v>kg CO2-eq / kg</v>
      </c>
    </row>
    <row r="966" spans="6:8" ht="13.95" customHeight="1" x14ac:dyDescent="0.3"/>
    <row r="967" spans="6:8" ht="13.95" customHeight="1" x14ac:dyDescent="0.3">
      <c r="F967" s="46" t="str">
        <f xml:space="preserve"> Inputs!E$298</f>
        <v>Recycled granulaatproductie, hernieuwbare energie, biomassa</v>
      </c>
      <c r="G967" s="46">
        <f xml:space="preserve"> Inputs!F$298</f>
        <v>0.64571000000000001</v>
      </c>
      <c r="H967" s="46" t="str">
        <f xml:space="preserve"> Inputs!G$298</f>
        <v>MJ-eq / kg</v>
      </c>
    </row>
    <row r="968" spans="6:8" ht="13.95" customHeight="1" x14ac:dyDescent="0.3">
      <c r="F968" s="46" t="str">
        <f xml:space="preserve"> Inputs!E$299</f>
        <v>Recycled granulaatproductie, hernieuwbare energie, geothermie</v>
      </c>
      <c r="G968" s="46">
        <f xml:space="preserve"> Inputs!F$299</f>
        <v>1.5873000000000002E-2</v>
      </c>
      <c r="H968" s="46" t="str">
        <f xml:space="preserve"> Inputs!G$299</f>
        <v>MJ-eq / kg</v>
      </c>
    </row>
    <row r="969" spans="6:8" ht="13.95" customHeight="1" x14ac:dyDescent="0.3">
      <c r="F969" s="46" t="str">
        <f xml:space="preserve"> Inputs!E$300</f>
        <v>Recycled granulaatproductie, hernieuwbare energie, zon</v>
      </c>
      <c r="G969" s="46">
        <f xml:space="preserve"> Inputs!F$300</f>
        <v>0.10088</v>
      </c>
      <c r="H969" s="46" t="str">
        <f xml:space="preserve"> Inputs!G$300</f>
        <v>MJ-eq / kg</v>
      </c>
    </row>
    <row r="970" spans="6:8" ht="13.95" customHeight="1" x14ac:dyDescent="0.3">
      <c r="F970" s="46" t="str">
        <f xml:space="preserve"> Inputs!E$301</f>
        <v>Recycled granulaatproductie, hernieuwbare energie, water</v>
      </c>
      <c r="G970" s="46">
        <f xml:space="preserve"> Inputs!F$301</f>
        <v>0.57150999999999996</v>
      </c>
      <c r="H970" s="46" t="str">
        <f xml:space="preserve"> Inputs!G$301</f>
        <v>MJ-eq / kg</v>
      </c>
    </row>
    <row r="971" spans="6:8" ht="13.95" customHeight="1" x14ac:dyDescent="0.3">
      <c r="F971" s="46" t="str">
        <f xml:space="preserve"> Inputs!E$302</f>
        <v>Recycled granulaatproductie, hernieuwbare energie, wind</v>
      </c>
      <c r="G971" s="46">
        <f xml:space="preserve"> Inputs!F$302</f>
        <v>0.21243999999999999</v>
      </c>
      <c r="H971" s="46" t="str">
        <f xml:space="preserve"> Inputs!G$302</f>
        <v>MJ-eq / kg</v>
      </c>
    </row>
    <row r="972" spans="6:8" ht="1.95" customHeight="1" x14ac:dyDescent="0.3">
      <c r="F972" s="46"/>
      <c r="G972" s="46"/>
      <c r="H972" s="46"/>
    </row>
    <row r="973" spans="6:8" ht="13.95" customHeight="1" x14ac:dyDescent="0.3">
      <c r="F973" s="46" t="str">
        <f xml:space="preserve"> Inputs!E$304</f>
        <v>Recycled granulaatproductie, niet-hernieuwbare energie, fossiel</v>
      </c>
      <c r="G973" s="46">
        <f xml:space="preserve"> Inputs!F$304</f>
        <v>6.2297000000000002</v>
      </c>
      <c r="H973" s="46" t="str">
        <f xml:space="preserve"> Inputs!G$304</f>
        <v>MJ-eq / kg</v>
      </c>
    </row>
    <row r="974" spans="6:8" ht="13.95" customHeight="1" x14ac:dyDescent="0.3">
      <c r="F974" s="46" t="str">
        <f xml:space="preserve"> Inputs!E$305</f>
        <v>Recycled granulaatproductie, niet-hernieuwbare energie, nucleair</v>
      </c>
      <c r="G974" s="46">
        <f xml:space="preserve"> Inputs!F$305</f>
        <v>2.3791000000000002</v>
      </c>
      <c r="H974" s="46" t="str">
        <f xml:space="preserve"> Inputs!G$305</f>
        <v>MJ-eq / kg</v>
      </c>
    </row>
    <row r="975" spans="6:8" ht="13.95" customHeight="1" x14ac:dyDescent="0.3">
      <c r="F975" s="46" t="str">
        <f xml:space="preserve"> Inputs!E$306</f>
        <v>Recycled granulaatproductie, niet-hernieuwbare energie, oerbos</v>
      </c>
      <c r="G975" s="46">
        <f xml:space="preserve"> Inputs!F$306</f>
        <v>5.0013000000000002E-2</v>
      </c>
      <c r="H975" s="46" t="str">
        <f xml:space="preserve"> Inputs!G$306</f>
        <v>MJ-eq / kg</v>
      </c>
    </row>
    <row r="976" spans="6:8" ht="1.95" customHeight="1" x14ac:dyDescent="0.3">
      <c r="F976" s="46"/>
      <c r="G976" s="46"/>
      <c r="H976" s="46"/>
    </row>
    <row r="977" spans="6:8" ht="13.95" customHeight="1" x14ac:dyDescent="0.3">
      <c r="F977" s="46" t="str">
        <f xml:space="preserve"> Inputs!E$308</f>
        <v>Recycled granulaatproductie, water</v>
      </c>
      <c r="G977" s="46">
        <f xml:space="preserve"> Inputs!F$308</f>
        <v>1.3717E-2</v>
      </c>
      <c r="H977" s="46" t="str">
        <f xml:space="preserve"> Inputs!G$308</f>
        <v>m3 / kg</v>
      </c>
    </row>
    <row r="978" spans="6:8" ht="1.95" customHeight="1" x14ac:dyDescent="0.3">
      <c r="F978" s="46"/>
      <c r="G978" s="46"/>
      <c r="H978" s="46"/>
    </row>
    <row r="979" spans="6:8" ht="13.95" customHeight="1" x14ac:dyDescent="0.3">
      <c r="F979" s="46" t="str">
        <f xml:space="preserve"> Inputs!E$310</f>
        <v>Recycled granulaatproductie, GWP100</v>
      </c>
      <c r="G979" s="46">
        <f xml:space="preserve"> Inputs!F$310</f>
        <v>0.70862000000000003</v>
      </c>
      <c r="H979" s="46" t="str">
        <f xml:space="preserve"> Inputs!G$310</f>
        <v>kg CO2-eq / kg</v>
      </c>
    </row>
    <row r="980" spans="6:8" ht="13.95" customHeight="1" x14ac:dyDescent="0.3"/>
    <row r="981" spans="6:8" ht="13.95" customHeight="1" x14ac:dyDescent="0.3">
      <c r="F981" t="s">
        <v>706</v>
      </c>
      <c r="G981">
        <f>G967-G953</f>
        <v>0.29053000000000001</v>
      </c>
      <c r="H981" t="s">
        <v>473</v>
      </c>
    </row>
    <row r="982" spans="6:8" ht="13.95" customHeight="1" x14ac:dyDescent="0.3">
      <c r="F982" t="s">
        <v>707</v>
      </c>
      <c r="G982">
        <f t="shared" ref="G982:G993" si="28">G968-G954</f>
        <v>2.2960000000000012E-3</v>
      </c>
      <c r="H982" t="s">
        <v>473</v>
      </c>
    </row>
    <row r="983" spans="6:8" ht="13.95" customHeight="1" x14ac:dyDescent="0.3">
      <c r="F983" t="s">
        <v>708</v>
      </c>
      <c r="G983">
        <f t="shared" si="28"/>
        <v>0.10009050999999999</v>
      </c>
      <c r="H983" t="s">
        <v>473</v>
      </c>
    </row>
    <row r="984" spans="6:8" ht="13.95" customHeight="1" x14ac:dyDescent="0.3">
      <c r="F984" t="s">
        <v>709</v>
      </c>
      <c r="G984">
        <f t="shared" si="28"/>
        <v>7.013999999999998E-2</v>
      </c>
      <c r="H984" t="s">
        <v>473</v>
      </c>
    </row>
    <row r="985" spans="6:8" ht="13.95" customHeight="1" x14ac:dyDescent="0.3">
      <c r="F985" t="s">
        <v>710</v>
      </c>
      <c r="G985">
        <f t="shared" si="28"/>
        <v>0.11277599999999999</v>
      </c>
      <c r="H985" t="s">
        <v>473</v>
      </c>
    </row>
    <row r="986" spans="6:8" ht="1.95" customHeight="1" x14ac:dyDescent="0.3">
      <c r="G986">
        <f t="shared" si="28"/>
        <v>0</v>
      </c>
    </row>
    <row r="987" spans="6:8" ht="13.95" customHeight="1" x14ac:dyDescent="0.3">
      <c r="F987" t="s">
        <v>711</v>
      </c>
      <c r="G987">
        <f t="shared" si="28"/>
        <v>-68.62530000000001</v>
      </c>
      <c r="H987" t="s">
        <v>473</v>
      </c>
    </row>
    <row r="988" spans="6:8" ht="13.95" customHeight="1" x14ac:dyDescent="0.3">
      <c r="F988" t="s">
        <v>712</v>
      </c>
      <c r="G988">
        <f t="shared" si="28"/>
        <v>-0.15720000000000001</v>
      </c>
      <c r="H988" t="s">
        <v>473</v>
      </c>
    </row>
    <row r="989" spans="6:8" ht="13.95" customHeight="1" x14ac:dyDescent="0.3">
      <c r="F989" t="s">
        <v>713</v>
      </c>
      <c r="G989">
        <f t="shared" si="28"/>
        <v>4.9439950000000003E-2</v>
      </c>
      <c r="H989" t="s">
        <v>473</v>
      </c>
    </row>
    <row r="990" spans="6:8" ht="1.95" customHeight="1" x14ac:dyDescent="0.3">
      <c r="G990">
        <f t="shared" si="28"/>
        <v>0</v>
      </c>
    </row>
    <row r="991" spans="6:8" ht="13.95" customHeight="1" x14ac:dyDescent="0.3">
      <c r="F991" t="s">
        <v>714</v>
      </c>
      <c r="G991">
        <f t="shared" si="28"/>
        <v>6.8428999999999999E-3</v>
      </c>
      <c r="H991" t="s">
        <v>474</v>
      </c>
    </row>
    <row r="992" spans="6:8" ht="1.95" customHeight="1" x14ac:dyDescent="0.3">
      <c r="G992">
        <f t="shared" si="28"/>
        <v>0</v>
      </c>
    </row>
    <row r="993" spans="4:11" ht="13.95" customHeight="1" x14ac:dyDescent="0.3">
      <c r="F993" t="s">
        <v>715</v>
      </c>
      <c r="G993">
        <f t="shared" si="28"/>
        <v>-1.5565800000000001</v>
      </c>
      <c r="H993" t="s">
        <v>475</v>
      </c>
    </row>
    <row r="994" spans="4:11" ht="13.95" customHeight="1" x14ac:dyDescent="0.3"/>
    <row r="995" spans="4:11" ht="13.95" customHeight="1" x14ac:dyDescent="0.3">
      <c r="F995" s="68" t="s">
        <v>716</v>
      </c>
      <c r="G995" s="75">
        <f>SUM(G981:G985)</f>
        <v>0.57583251000000002</v>
      </c>
      <c r="H995" s="68" t="s">
        <v>473</v>
      </c>
    </row>
    <row r="996" spans="4:11" ht="13.95" customHeight="1" x14ac:dyDescent="0.3">
      <c r="F996" s="68" t="s">
        <v>717</v>
      </c>
      <c r="G996" s="75">
        <f>SUM(G987:G989)</f>
        <v>-68.73306005000002</v>
      </c>
      <c r="H996" s="68" t="s">
        <v>473</v>
      </c>
      <c r="K996" t="s">
        <v>705</v>
      </c>
    </row>
    <row r="997" spans="4:11" ht="13.95" customHeight="1" x14ac:dyDescent="0.3">
      <c r="F997" s="68" t="s">
        <v>718</v>
      </c>
      <c r="G997" s="75">
        <f>G991</f>
        <v>6.8428999999999999E-3</v>
      </c>
      <c r="H997" s="68" t="s">
        <v>474</v>
      </c>
    </row>
    <row r="998" spans="4:11" ht="13.95" customHeight="1" x14ac:dyDescent="0.3">
      <c r="F998" s="68" t="s">
        <v>719</v>
      </c>
      <c r="G998" s="75">
        <f>G993</f>
        <v>-1.5565800000000001</v>
      </c>
      <c r="H998" s="68" t="s">
        <v>475</v>
      </c>
      <c r="K998" t="s">
        <v>705</v>
      </c>
    </row>
    <row r="999" spans="4:11" ht="1.95" customHeight="1" x14ac:dyDescent="0.3"/>
    <row r="1000" spans="4:11" ht="13.95" customHeight="1" x14ac:dyDescent="0.3">
      <c r="F1000" s="64" t="str">
        <f xml:space="preserve"> F$765</f>
        <v>Overgebleven gewicht recycled, na uitval, plastic</v>
      </c>
      <c r="G1000" s="67">
        <f xml:space="preserve"> G$765</f>
        <v>1691.8512000000001</v>
      </c>
      <c r="H1000" s="64" t="str">
        <f xml:space="preserve"> H$765</f>
        <v xml:space="preserve">kg / jaar </v>
      </c>
    </row>
    <row r="1001" spans="4:11" ht="1.95" customHeight="1" x14ac:dyDescent="0.3"/>
    <row r="1002" spans="4:11" ht="13.95" customHeight="1" x14ac:dyDescent="0.3">
      <c r="F1002" s="68" t="s">
        <v>720</v>
      </c>
      <c r="G1002" s="73">
        <f>G995*$G$1000</f>
        <v>974.22292304251209</v>
      </c>
      <c r="H1002" s="64" t="str">
        <f xml:space="preserve"> H$629</f>
        <v>MJ-eq</v>
      </c>
    </row>
    <row r="1003" spans="4:11" ht="13.95" customHeight="1" x14ac:dyDescent="0.3">
      <c r="F1003" s="68" t="s">
        <v>721</v>
      </c>
      <c r="G1003" s="73">
        <f t="shared" ref="G1003:G1005" si="29">G996*$G$1000</f>
        <v>-116286.1101252646</v>
      </c>
      <c r="H1003" s="64" t="str">
        <f xml:space="preserve"> H$630</f>
        <v>MJ-eq</v>
      </c>
    </row>
    <row r="1004" spans="4:11" ht="13.95" customHeight="1" x14ac:dyDescent="0.3">
      <c r="F1004" s="68" t="s">
        <v>722</v>
      </c>
      <c r="G1004" s="73">
        <f t="shared" si="29"/>
        <v>11.57716857648</v>
      </c>
      <c r="H1004" s="64" t="str">
        <f xml:space="preserve"> H$631</f>
        <v>m3</v>
      </c>
    </row>
    <row r="1005" spans="4:11" ht="13.95" customHeight="1" x14ac:dyDescent="0.3">
      <c r="F1005" s="68" t="s">
        <v>723</v>
      </c>
      <c r="G1005" s="73">
        <f t="shared" si="29"/>
        <v>-2633.5017408960002</v>
      </c>
      <c r="H1005" s="64" t="str">
        <f xml:space="preserve"> H$632</f>
        <v>kg CO2-eq</v>
      </c>
    </row>
    <row r="1006" spans="4:11" ht="13.95" customHeight="1" x14ac:dyDescent="0.3"/>
    <row r="1007" spans="4:11" ht="13.95" customHeight="1" x14ac:dyDescent="0.3">
      <c r="D1007" t="s">
        <v>725</v>
      </c>
    </row>
    <row r="1008" spans="4:11" ht="13.95" customHeight="1" x14ac:dyDescent="0.3">
      <c r="E1008" s="53" t="s">
        <v>728</v>
      </c>
    </row>
    <row r="1009" spans="6:8" ht="13.95" customHeight="1" x14ac:dyDescent="0.3">
      <c r="F1009" s="46" t="str">
        <f xml:space="preserve"> Inputs!E$332</f>
        <v>Verbranding, plastic, hernieuwbare energie, biomassa</v>
      </c>
      <c r="G1009" s="46">
        <f xml:space="preserve"> Inputs!F$332</f>
        <v>5.9201000000000002E-3</v>
      </c>
      <c r="H1009" s="46" t="str">
        <f xml:space="preserve"> Inputs!G$332</f>
        <v>MJ-eq / kg</v>
      </c>
    </row>
    <row r="1010" spans="6:8" ht="13.95" customHeight="1" x14ac:dyDescent="0.3">
      <c r="F1010" s="46" t="str">
        <f xml:space="preserve"> Inputs!E$333</f>
        <v>Verbranding, plastic, hernieuwbare energie, geothermie</v>
      </c>
      <c r="G1010" s="46">
        <f xml:space="preserve"> Inputs!F$333</f>
        <v>2.2561E-4</v>
      </c>
      <c r="H1010" s="46" t="str">
        <f xml:space="preserve"> Inputs!G$333</f>
        <v>MJ-eq / kg</v>
      </c>
    </row>
    <row r="1011" spans="6:8" ht="13.95" customHeight="1" x14ac:dyDescent="0.3">
      <c r="F1011" s="46" t="str">
        <f xml:space="preserve"> Inputs!E$334</f>
        <v>Verbranding, plastic, hernieuwbare energie, zon</v>
      </c>
      <c r="G1011" s="46">
        <f xml:space="preserve"> Inputs!F$334</f>
        <v>2.0874999999999999E-5</v>
      </c>
      <c r="H1011" s="46" t="str">
        <f xml:space="preserve"> Inputs!G$334</f>
        <v>MJ-eq / kg</v>
      </c>
    </row>
    <row r="1012" spans="6:8" ht="13.95" customHeight="1" x14ac:dyDescent="0.3">
      <c r="F1012" s="46" t="str">
        <f xml:space="preserve"> Inputs!E$335</f>
        <v>Verbranding, plastic, hernieuwbare energie, water</v>
      </c>
      <c r="G1012" s="46">
        <f xml:space="preserve"> Inputs!F$335</f>
        <v>9.2981000000000001E-3</v>
      </c>
      <c r="H1012" s="46" t="str">
        <f xml:space="preserve"> Inputs!G$335</f>
        <v>MJ-eq / kg</v>
      </c>
    </row>
    <row r="1013" spans="6:8" ht="13.95" customHeight="1" x14ac:dyDescent="0.3">
      <c r="F1013" s="46" t="str">
        <f xml:space="preserve"> Inputs!E$336</f>
        <v>Verbranding, plastic, hernieuwbare energie, wind</v>
      </c>
      <c r="G1013" s="46">
        <f xml:space="preserve"> Inputs!F$336</f>
        <v>1.4995E-3</v>
      </c>
      <c r="H1013" s="46" t="str">
        <f xml:space="preserve"> Inputs!G$336</f>
        <v>MJ-eq / kg</v>
      </c>
    </row>
    <row r="1014" spans="6:8" ht="1.95" customHeight="1" x14ac:dyDescent="0.3">
      <c r="F1014" s="46"/>
      <c r="G1014" s="46"/>
      <c r="H1014" s="46"/>
    </row>
    <row r="1015" spans="6:8" ht="13.95" customHeight="1" x14ac:dyDescent="0.3">
      <c r="F1015" s="46" t="str">
        <f xml:space="preserve"> Inputs!E$338</f>
        <v>Verbranding, plastic, niet-hernieuwbare energie, fossiel</v>
      </c>
      <c r="G1015" s="46">
        <f xml:space="preserve"> Inputs!F$338</f>
        <v>0.45071</v>
      </c>
      <c r="H1015" s="46" t="str">
        <f xml:space="preserve"> Inputs!G$338</f>
        <v>MJ-eq / kg</v>
      </c>
    </row>
    <row r="1016" spans="6:8" ht="13.95" customHeight="1" x14ac:dyDescent="0.3">
      <c r="F1016" s="46" t="str">
        <f xml:space="preserve"> Inputs!E$339</f>
        <v>Verbranding, plastic, niet-hernieuwbare energie, nucleair</v>
      </c>
      <c r="G1016" s="46">
        <f xml:space="preserve"> Inputs!F$339</f>
        <v>1.4777999999999999E-2</v>
      </c>
      <c r="H1016" s="46" t="str">
        <f xml:space="preserve"> Inputs!G$339</f>
        <v>MJ-eq / kg</v>
      </c>
    </row>
    <row r="1017" spans="6:8" ht="13.95" customHeight="1" x14ac:dyDescent="0.3">
      <c r="F1017" s="46" t="str">
        <f xml:space="preserve"> Inputs!E$340</f>
        <v>Verbranding, plastic, niet-hernieuwbare energie, oerbos</v>
      </c>
      <c r="G1017" s="46">
        <f xml:space="preserve"> Inputs!F$340</f>
        <v>1.4925E-5</v>
      </c>
      <c r="H1017" s="46" t="str">
        <f xml:space="preserve"> Inputs!G$340</f>
        <v>MJ-eq / kg</v>
      </c>
    </row>
    <row r="1018" spans="6:8" ht="1.95" customHeight="1" x14ac:dyDescent="0.3">
      <c r="F1018" s="46"/>
      <c r="G1018" s="46"/>
      <c r="H1018" s="46"/>
    </row>
    <row r="1019" spans="6:8" ht="13.95" customHeight="1" x14ac:dyDescent="0.3">
      <c r="F1019" s="46" t="str">
        <f xml:space="preserve"> Inputs!E$342</f>
        <v>Verbranding, plastic, water</v>
      </c>
      <c r="G1019" s="46">
        <f xml:space="preserve"> Inputs!F$342</f>
        <v>3.9680999999999996E-3</v>
      </c>
      <c r="H1019" s="46" t="str">
        <f xml:space="preserve"> Inputs!G$342</f>
        <v>m3 / kg</v>
      </c>
    </row>
    <row r="1020" spans="6:8" ht="1.95" customHeight="1" x14ac:dyDescent="0.3">
      <c r="F1020" s="46"/>
      <c r="G1020" s="46"/>
      <c r="H1020" s="46"/>
    </row>
    <row r="1021" spans="6:8" ht="13.95" customHeight="1" x14ac:dyDescent="0.3">
      <c r="F1021" s="46" t="str">
        <f xml:space="preserve"> Inputs!E$344</f>
        <v>Verbranding, plastic, GWP100</v>
      </c>
      <c r="G1021" s="46">
        <f xml:space="preserve"> Inputs!F$344</f>
        <v>2.3748999999999998</v>
      </c>
      <c r="H1021" s="46" t="str">
        <f xml:space="preserve"> Inputs!G$344</f>
        <v>kg CO2-eq / kg</v>
      </c>
    </row>
    <row r="1022" spans="6:8" ht="13.95" customHeight="1" x14ac:dyDescent="0.3"/>
    <row r="1023" spans="6:8" ht="13.95" customHeight="1" x14ac:dyDescent="0.3">
      <c r="F1023" s="68" t="s">
        <v>726</v>
      </c>
      <c r="G1023" s="75">
        <f>SUM(G1009:G1013)</f>
        <v>1.6964185E-2</v>
      </c>
      <c r="H1023" s="68" t="s">
        <v>473</v>
      </c>
    </row>
    <row r="1024" spans="6:8" ht="13.95" customHeight="1" x14ac:dyDescent="0.3">
      <c r="F1024" s="68" t="s">
        <v>727</v>
      </c>
      <c r="G1024" s="75">
        <f>SUM(G1015:G1017)</f>
        <v>0.46550292500000001</v>
      </c>
      <c r="H1024" s="68" t="s">
        <v>473</v>
      </c>
    </row>
    <row r="1025" spans="5:8" ht="13.95" customHeight="1" x14ac:dyDescent="0.3">
      <c r="F1025" s="68" t="s">
        <v>603</v>
      </c>
      <c r="G1025" s="75">
        <f>G1019</f>
        <v>3.9680999999999996E-3</v>
      </c>
      <c r="H1025" s="68" t="s">
        <v>474</v>
      </c>
    </row>
    <row r="1026" spans="5:8" ht="13.95" customHeight="1" x14ac:dyDescent="0.3">
      <c r="F1026" s="68" t="s">
        <v>604</v>
      </c>
      <c r="G1026" s="75">
        <f>G1021</f>
        <v>2.3748999999999998</v>
      </c>
      <c r="H1026" s="68" t="s">
        <v>475</v>
      </c>
    </row>
    <row r="1027" spans="5:8" ht="1.95" customHeight="1" x14ac:dyDescent="0.3"/>
    <row r="1028" spans="5:8" ht="13.95" customHeight="1" x14ac:dyDescent="0.3">
      <c r="F1028" s="64" t="str">
        <f xml:space="preserve"> F$762</f>
        <v>Jaarlijkse gewicht plastic, restafval</v>
      </c>
      <c r="G1028" s="67">
        <f xml:space="preserve"> G$762</f>
        <v>1187.2639999999999</v>
      </c>
      <c r="H1028" s="64" t="str">
        <f xml:space="preserve"> H$762</f>
        <v xml:space="preserve">kg / jaar </v>
      </c>
    </row>
    <row r="1029" spans="5:8" ht="1.95" customHeight="1" x14ac:dyDescent="0.3"/>
    <row r="1030" spans="5:8" ht="13.95" customHeight="1" x14ac:dyDescent="0.3">
      <c r="F1030" s="68" t="s">
        <v>759</v>
      </c>
      <c r="G1030" s="73">
        <f>G1023*$G$1028</f>
        <v>20.140966139839996</v>
      </c>
      <c r="H1030" s="64" t="str">
        <f xml:space="preserve"> H$629</f>
        <v>MJ-eq</v>
      </c>
    </row>
    <row r="1031" spans="5:8" ht="13.95" customHeight="1" x14ac:dyDescent="0.3">
      <c r="F1031" s="68" t="s">
        <v>760</v>
      </c>
      <c r="G1031" s="73">
        <f t="shared" ref="G1031:G1033" si="30">G1024*$G$1028</f>
        <v>552.67486474719999</v>
      </c>
      <c r="H1031" s="64" t="str">
        <f xml:space="preserve"> H$630</f>
        <v>MJ-eq</v>
      </c>
    </row>
    <row r="1032" spans="5:8" ht="13.95" customHeight="1" x14ac:dyDescent="0.3">
      <c r="F1032" s="68" t="s">
        <v>761</v>
      </c>
      <c r="G1032" s="73">
        <f t="shared" si="30"/>
        <v>4.711182278399999</v>
      </c>
      <c r="H1032" s="64" t="str">
        <f xml:space="preserve"> H$631</f>
        <v>m3</v>
      </c>
    </row>
    <row r="1033" spans="5:8" ht="13.95" customHeight="1" x14ac:dyDescent="0.3">
      <c r="F1033" s="68" t="s">
        <v>762</v>
      </c>
      <c r="G1033" s="73">
        <f t="shared" si="30"/>
        <v>2819.6332735999995</v>
      </c>
      <c r="H1033" s="64" t="str">
        <f xml:space="preserve"> H$632</f>
        <v>kg CO2-eq</v>
      </c>
    </row>
    <row r="1034" spans="5:8" ht="13.95" customHeight="1" x14ac:dyDescent="0.3"/>
    <row r="1035" spans="5:8" ht="13.95" customHeight="1" x14ac:dyDescent="0.3">
      <c r="E1035" s="53" t="s">
        <v>729</v>
      </c>
    </row>
    <row r="1036" spans="5:8" ht="13.95" customHeight="1" x14ac:dyDescent="0.3">
      <c r="F1036" s="64" t="str">
        <f xml:space="preserve"> F$766</f>
        <v>Totaalgewicht restafval, incl. uitval, plastic</v>
      </c>
      <c r="G1036" s="67">
        <f xml:space="preserve"> G$766</f>
        <v>1276.3087999999998</v>
      </c>
      <c r="H1036" s="64" t="str">
        <f xml:space="preserve"> H$766</f>
        <v xml:space="preserve">kg / jaar </v>
      </c>
    </row>
    <row r="1037" spans="5:8" ht="1.95" customHeight="1" x14ac:dyDescent="0.3"/>
    <row r="1038" spans="5:8" ht="13.95" customHeight="1" x14ac:dyDescent="0.3">
      <c r="F1038" s="46" t="str">
        <f xml:space="preserve"> Inputs!E$346</f>
        <v>Elektriciteitsproductie, verbranding plastic</v>
      </c>
      <c r="G1038" s="46">
        <f xml:space="preserve"> Inputs!F$346</f>
        <v>3.92</v>
      </c>
      <c r="H1038" s="46" t="str">
        <f xml:space="preserve"> Inputs!G$346</f>
        <v>MJ / kg</v>
      </c>
    </row>
    <row r="1039" spans="5:8" ht="13.95" customHeight="1" x14ac:dyDescent="0.3">
      <c r="F1039" s="46" t="str">
        <f xml:space="preserve"> Inputs!E$347</f>
        <v>Warmteproductie, verbranding plastic</v>
      </c>
      <c r="G1039" s="46">
        <f xml:space="preserve"> Inputs!F$347</f>
        <v>7.66</v>
      </c>
      <c r="H1039" s="46" t="str">
        <f xml:space="preserve"> Inputs!G$347</f>
        <v>MJ / kg</v>
      </c>
    </row>
    <row r="1040" spans="5:8" ht="1.95" customHeight="1" x14ac:dyDescent="0.3">
      <c r="F1040" s="46"/>
      <c r="G1040" s="46"/>
      <c r="H1040" s="46"/>
    </row>
    <row r="1041" spans="6:8" ht="13.95" customHeight="1" x14ac:dyDescent="0.3">
      <c r="F1041" s="46" t="str">
        <f xml:space="preserve"> Inputs!E$12</f>
        <v>Conversie MJ naar kwh</v>
      </c>
      <c r="G1041" s="46">
        <f xml:space="preserve"> Inputs!F$12</f>
        <v>0.27777800000000002</v>
      </c>
      <c r="H1041" s="46" t="str">
        <f xml:space="preserve"> Inputs!G$12</f>
        <v>kwh / MJ</v>
      </c>
    </row>
    <row r="1042" spans="6:8" ht="1.95" customHeight="1" x14ac:dyDescent="0.3"/>
    <row r="1043" spans="6:8" ht="13.95" customHeight="1" x14ac:dyDescent="0.3">
      <c r="F1043" t="s">
        <v>730</v>
      </c>
      <c r="G1043" s="94">
        <f>$G$1036*G1038*G1041</f>
        <v>1389.7595829178879</v>
      </c>
      <c r="H1043" t="s">
        <v>1113</v>
      </c>
    </row>
    <row r="1044" spans="6:8" ht="13.95" customHeight="1" x14ac:dyDescent="0.3">
      <c r="F1044" t="s">
        <v>731</v>
      </c>
      <c r="G1044" s="94">
        <f>$G$1036*G1039*G1041</f>
        <v>2715.7036747834236</v>
      </c>
      <c r="H1044" t="s">
        <v>1113</v>
      </c>
    </row>
    <row r="1045" spans="6:8" ht="13.95" customHeight="1" x14ac:dyDescent="0.3"/>
    <row r="1046" spans="6:8" ht="13.95" customHeight="1" x14ac:dyDescent="0.3">
      <c r="F1046" s="46" t="str">
        <f xml:space="preserve"> Inputs!E$350</f>
        <v>Elektriciteitsproductie NL, hernieuwbare energie, biomassa</v>
      </c>
      <c r="G1046" s="46">
        <f xml:space="preserve"> Inputs!F$350</f>
        <v>3.2242999999999999</v>
      </c>
      <c r="H1046" s="46" t="str">
        <f xml:space="preserve"> Inputs!G$350</f>
        <v>MJ-eq / kwh</v>
      </c>
    </row>
    <row r="1047" spans="6:8" ht="13.95" customHeight="1" x14ac:dyDescent="0.3">
      <c r="F1047" s="46" t="str">
        <f xml:space="preserve"> Inputs!E$351</f>
        <v>Elektriciteitsproductie NL, hernieuwbare energie, geothermie</v>
      </c>
      <c r="G1047" s="46">
        <f xml:space="preserve"> Inputs!F$351</f>
        <v>6.3539E-4</v>
      </c>
      <c r="H1047" s="46" t="str">
        <f xml:space="preserve"> Inputs!G$351</f>
        <v>MJ-eq / kwh</v>
      </c>
    </row>
    <row r="1048" spans="6:8" ht="13.95" customHeight="1" x14ac:dyDescent="0.3">
      <c r="F1048" s="46" t="str">
        <f xml:space="preserve"> Inputs!E$352</f>
        <v>Elektriciteitsproductie NL, hernieuwbare energie, zon</v>
      </c>
      <c r="G1048" s="46">
        <f xml:space="preserve"> Inputs!F$352</f>
        <v>2.5720000000000002E-4</v>
      </c>
      <c r="H1048" s="46" t="str">
        <f xml:space="preserve"> Inputs!G$352</f>
        <v>MJ-eq / kwh</v>
      </c>
    </row>
    <row r="1049" spans="6:8" ht="13.95" customHeight="1" x14ac:dyDescent="0.3">
      <c r="F1049" s="46" t="str">
        <f xml:space="preserve"> Inputs!E$353</f>
        <v>Elektriciteitsproductie NL, hernieuwbare energie, water</v>
      </c>
      <c r="G1049" s="46">
        <f xml:space="preserve"> Inputs!F$353</f>
        <v>2.9499000000000001E-2</v>
      </c>
      <c r="H1049" s="46" t="str">
        <f xml:space="preserve"> Inputs!G$353</f>
        <v>MJ-eq / kwh</v>
      </c>
    </row>
    <row r="1050" spans="6:8" ht="13.95" customHeight="1" x14ac:dyDescent="0.3">
      <c r="F1050" s="46" t="str">
        <f xml:space="preserve"> Inputs!E$354</f>
        <v>Elektriciteitsproductie NL, hernieuwbare energie, wind</v>
      </c>
      <c r="G1050" s="46">
        <f xml:space="preserve"> Inputs!F$354</f>
        <v>6.4552999999999998E-3</v>
      </c>
      <c r="H1050" s="46" t="str">
        <f xml:space="preserve"> Inputs!G$354</f>
        <v>MJ-eq / kwh</v>
      </c>
    </row>
    <row r="1051" spans="6:8" ht="1.95" customHeight="1" x14ac:dyDescent="0.3">
      <c r="F1051" s="46"/>
      <c r="G1051" s="46"/>
      <c r="H1051" s="46"/>
    </row>
    <row r="1052" spans="6:8" ht="13.95" customHeight="1" x14ac:dyDescent="0.3">
      <c r="F1052" s="46" t="str">
        <f xml:space="preserve"> Inputs!E$356</f>
        <v>Elektriciteitsproductie NL, niet-hernieuwbare energie, fossiel</v>
      </c>
      <c r="G1052" s="46">
        <f xml:space="preserve"> Inputs!F$356</f>
        <v>15.563000000000001</v>
      </c>
      <c r="H1052" s="46" t="str">
        <f xml:space="preserve"> Inputs!G$356</f>
        <v>MJ-eq / kwh</v>
      </c>
    </row>
    <row r="1053" spans="6:8" ht="13.95" customHeight="1" x14ac:dyDescent="0.3">
      <c r="F1053" s="46" t="str">
        <f xml:space="preserve"> Inputs!E$357</f>
        <v>Elektriciteitsproductie NL, niet-hernieuwbare energie, nucleair</v>
      </c>
      <c r="G1053" s="46">
        <f xml:space="preserve"> Inputs!F$357</f>
        <v>0.26207000000000003</v>
      </c>
      <c r="H1053" s="46" t="str">
        <f xml:space="preserve"> Inputs!G$357</f>
        <v>MJ-eq / kwh</v>
      </c>
    </row>
    <row r="1054" spans="6:8" ht="13.95" customHeight="1" x14ac:dyDescent="0.3">
      <c r="F1054" s="46" t="str">
        <f xml:space="preserve"> Inputs!E$358</f>
        <v>Elektriciteitsproductie NL, niet-hernieuwbare energie, oerbos</v>
      </c>
      <c r="G1054" s="46">
        <f xml:space="preserve"> Inputs!F$358</f>
        <v>2.0896000000000001E-3</v>
      </c>
      <c r="H1054" s="46" t="str">
        <f xml:space="preserve"> Inputs!G$358</f>
        <v>MJ-eq / kwh</v>
      </c>
    </row>
    <row r="1055" spans="6:8" ht="1.95" customHeight="1" x14ac:dyDescent="0.3">
      <c r="F1055" s="46"/>
      <c r="G1055" s="46"/>
      <c r="H1055" s="46"/>
    </row>
    <row r="1056" spans="6:8" ht="13.95" customHeight="1" x14ac:dyDescent="0.3">
      <c r="F1056" s="46" t="str">
        <f xml:space="preserve"> Inputs!E$360</f>
        <v>Elektriciteitsproductie NL, water</v>
      </c>
      <c r="G1056" s="46">
        <f xml:space="preserve"> Inputs!F$360</f>
        <v>1.5888E-3</v>
      </c>
      <c r="H1056" s="46" t="str">
        <f xml:space="preserve"> Inputs!G$360</f>
        <v>m3 / kwh</v>
      </c>
    </row>
    <row r="1057" spans="6:11" ht="1.95" customHeight="1" x14ac:dyDescent="0.3">
      <c r="F1057" s="46"/>
      <c r="G1057" s="46"/>
      <c r="H1057" s="46"/>
    </row>
    <row r="1058" spans="6:11" ht="13.95" customHeight="1" x14ac:dyDescent="0.3">
      <c r="F1058" s="46" t="str">
        <f xml:space="preserve"> Inputs!E$362</f>
        <v>Elektriciteitsproductie NL, GWP100</v>
      </c>
      <c r="G1058" s="46">
        <f xml:space="preserve"> Inputs!F$362</f>
        <v>0.49099999999999999</v>
      </c>
      <c r="H1058" s="46" t="str">
        <f xml:space="preserve"> Inputs!G$362</f>
        <v>kg CO2-eq / kwh</v>
      </c>
    </row>
    <row r="1059" spans="6:11" ht="13.95" customHeight="1" x14ac:dyDescent="0.3"/>
    <row r="1060" spans="6:11" ht="13.95" customHeight="1" x14ac:dyDescent="0.3">
      <c r="F1060" s="68" t="s">
        <v>732</v>
      </c>
      <c r="G1060" s="75">
        <f>SUM(G1046:G1050)</f>
        <v>3.2611468899999996</v>
      </c>
      <c r="H1060" s="68" t="s">
        <v>587</v>
      </c>
    </row>
    <row r="1061" spans="6:11" ht="13.95" customHeight="1" x14ac:dyDescent="0.3">
      <c r="F1061" s="68" t="s">
        <v>733</v>
      </c>
      <c r="G1061" s="75">
        <f>SUM(G1052:G1054)</f>
        <v>15.8271596</v>
      </c>
      <c r="H1061" s="68" t="s">
        <v>587</v>
      </c>
    </row>
    <row r="1062" spans="6:11" ht="13.95" customHeight="1" x14ac:dyDescent="0.3">
      <c r="F1062" s="68" t="s">
        <v>585</v>
      </c>
      <c r="G1062" s="75">
        <f>G1056</f>
        <v>1.5888E-3</v>
      </c>
      <c r="H1062" s="68" t="s">
        <v>588</v>
      </c>
    </row>
    <row r="1063" spans="6:11" ht="13.95" customHeight="1" x14ac:dyDescent="0.3">
      <c r="F1063" s="68" t="s">
        <v>586</v>
      </c>
      <c r="G1063" s="75">
        <f>G1058</f>
        <v>0.49099999999999999</v>
      </c>
      <c r="H1063" s="68" t="s">
        <v>589</v>
      </c>
    </row>
    <row r="1064" spans="6:11" ht="1.95" customHeight="1" x14ac:dyDescent="0.3"/>
    <row r="1065" spans="6:11" ht="13.95" customHeight="1" x14ac:dyDescent="0.3">
      <c r="F1065" s="64" t="str">
        <f xml:space="preserve"> F$1043</f>
        <v>Jaarlijkse elektriciteitsproductie, verbranding plastic</v>
      </c>
      <c r="G1065" s="97">
        <f xml:space="preserve"> G$1043</f>
        <v>1389.7595829178879</v>
      </c>
      <c r="H1065" s="64" t="str">
        <f xml:space="preserve"> H$1043</f>
        <v>kwh / jaar</v>
      </c>
      <c r="K1065" s="43"/>
    </row>
    <row r="1066" spans="6:11" ht="1.95" customHeight="1" x14ac:dyDescent="0.3"/>
    <row r="1067" spans="6:11" ht="13.95" customHeight="1" x14ac:dyDescent="0.3">
      <c r="F1067" s="68" t="s">
        <v>734</v>
      </c>
      <c r="G1067" s="66">
        <f>G1060*$G$1065</f>
        <v>4532.2101416803662</v>
      </c>
      <c r="H1067" s="64" t="str">
        <f xml:space="preserve"> H$629</f>
        <v>MJ-eq</v>
      </c>
    </row>
    <row r="1068" spans="6:11" ht="13.95" customHeight="1" x14ac:dyDescent="0.3">
      <c r="F1068" s="68" t="s">
        <v>735</v>
      </c>
      <c r="G1068" s="66">
        <f t="shared" ref="G1068:G1070" si="31">G1061*$G$1065</f>
        <v>21995.946724470847</v>
      </c>
      <c r="H1068" s="64" t="str">
        <f xml:space="preserve"> H$630</f>
        <v>MJ-eq</v>
      </c>
    </row>
    <row r="1069" spans="6:11" ht="13.95" customHeight="1" x14ac:dyDescent="0.3">
      <c r="F1069" s="68" t="s">
        <v>736</v>
      </c>
      <c r="G1069" s="66">
        <f t="shared" si="31"/>
        <v>2.2080500253399404</v>
      </c>
      <c r="H1069" s="64" t="str">
        <f xml:space="preserve"> H$631</f>
        <v>m3</v>
      </c>
    </row>
    <row r="1070" spans="6:11" ht="13.95" customHeight="1" x14ac:dyDescent="0.3">
      <c r="F1070" s="68" t="s">
        <v>737</v>
      </c>
      <c r="G1070" s="66">
        <f t="shared" si="31"/>
        <v>682.37195521268291</v>
      </c>
      <c r="H1070" s="64" t="str">
        <f xml:space="preserve"> H$632</f>
        <v>kg CO2-eq</v>
      </c>
    </row>
    <row r="1071" spans="6:11" ht="13.95" customHeight="1" x14ac:dyDescent="0.3"/>
    <row r="1072" spans="6:11" ht="13.95" customHeight="1" x14ac:dyDescent="0.3">
      <c r="F1072" s="46" t="str">
        <f xml:space="preserve"> Inputs!E$364</f>
        <v>Warmteproductie NL, hernieuwbare energie, biomassa</v>
      </c>
      <c r="G1072" s="79">
        <f xml:space="preserve"> Inputs!F$364</f>
        <v>2.0808E-4</v>
      </c>
      <c r="H1072" s="46" t="str">
        <f xml:space="preserve"> Inputs!G$364</f>
        <v>MJ-eq / kwh</v>
      </c>
    </row>
    <row r="1073" spans="6:8" ht="13.95" customHeight="1" x14ac:dyDescent="0.3">
      <c r="F1073" s="46" t="str">
        <f xml:space="preserve"> Inputs!E$365</f>
        <v>Warmteproductie NL, hernieuwbare energie, geothermie</v>
      </c>
      <c r="G1073" s="79">
        <f xml:space="preserve"> Inputs!F$365</f>
        <v>5.0508E-6</v>
      </c>
      <c r="H1073" s="46" t="str">
        <f xml:space="preserve"> Inputs!G$365</f>
        <v>MJ-eq / kwh</v>
      </c>
    </row>
    <row r="1074" spans="6:8" ht="13.95" customHeight="1" x14ac:dyDescent="0.3">
      <c r="F1074" s="46" t="str">
        <f xml:space="preserve"> Inputs!E$366</f>
        <v>Warmteproductie NL, hernieuwbare energie, zon</v>
      </c>
      <c r="G1074" s="79">
        <f xml:space="preserve"> Inputs!F$366</f>
        <v>3.8564E-7</v>
      </c>
      <c r="H1074" s="46" t="str">
        <f xml:space="preserve"> Inputs!G$366</f>
        <v>MJ-eq / kwh</v>
      </c>
    </row>
    <row r="1075" spans="6:8" ht="13.95" customHeight="1" x14ac:dyDescent="0.3">
      <c r="F1075" s="46" t="str">
        <f xml:space="preserve"> Inputs!E$367</f>
        <v>Warmteproductie NL, hernieuwbare energie, water</v>
      </c>
      <c r="G1075" s="79">
        <f xml:space="preserve"> Inputs!F$367</f>
        <v>3.8290999999999998E-4</v>
      </c>
      <c r="H1075" s="46" t="str">
        <f xml:space="preserve"> Inputs!G$367</f>
        <v>MJ-eq / kwh</v>
      </c>
    </row>
    <row r="1076" spans="6:8" ht="13.95" customHeight="1" x14ac:dyDescent="0.3">
      <c r="F1076" s="46" t="str">
        <f xml:space="preserve"> Inputs!E$368</f>
        <v>Warmteproductie NL, hernieuwbare energie, wind</v>
      </c>
      <c r="G1076" s="79">
        <f xml:space="preserve"> Inputs!F$368</f>
        <v>7.6681000000000007E-5</v>
      </c>
      <c r="H1076" s="46" t="str">
        <f xml:space="preserve"> Inputs!G$368</f>
        <v>MJ-eq / kwh</v>
      </c>
    </row>
    <row r="1077" spans="6:8" ht="1.95" customHeight="1" x14ac:dyDescent="0.3">
      <c r="F1077" s="46"/>
      <c r="G1077" s="79"/>
      <c r="H1077" s="46"/>
    </row>
    <row r="1078" spans="6:8" ht="13.95" customHeight="1" x14ac:dyDescent="0.3">
      <c r="F1078" s="46" t="str">
        <f xml:space="preserve"> Inputs!E$370</f>
        <v>Warmteproductie NL, niet-hernieuwbare energie, fossiel</v>
      </c>
      <c r="G1078" s="79">
        <f xml:space="preserve"> Inputs!F$370</f>
        <v>0.51809000000000005</v>
      </c>
      <c r="H1078" s="46" t="str">
        <f xml:space="preserve"> Inputs!G$370</f>
        <v>MJ-eq / kwh</v>
      </c>
    </row>
    <row r="1079" spans="6:8" ht="13.95" customHeight="1" x14ac:dyDescent="0.3">
      <c r="F1079" s="46" t="str">
        <f xml:space="preserve"> Inputs!E$371</f>
        <v>Warmteproductie NL, niet-hernieuwbare energie, nucleair</v>
      </c>
      <c r="G1079" s="79">
        <f xml:space="preserve"> Inputs!F$371</f>
        <v>5.9409999999999997E-4</v>
      </c>
      <c r="H1079" s="46" t="str">
        <f xml:space="preserve"> Inputs!G$371</f>
        <v>MJ-eq / kwh</v>
      </c>
    </row>
    <row r="1080" spans="6:8" ht="13.95" customHeight="1" x14ac:dyDescent="0.3">
      <c r="F1080" s="46" t="str">
        <f xml:space="preserve"> Inputs!E$372</f>
        <v>Warmteproductie NL, niet-hernieuwbare energie, oerbos</v>
      </c>
      <c r="G1080" s="79">
        <f xml:space="preserve"> Inputs!F$372</f>
        <v>8.5758000000000003E-7</v>
      </c>
      <c r="H1080" s="46" t="str">
        <f xml:space="preserve"> Inputs!G$372</f>
        <v>MJ-eq / kwh</v>
      </c>
    </row>
    <row r="1081" spans="6:8" ht="1.95" customHeight="1" x14ac:dyDescent="0.3">
      <c r="F1081" s="46"/>
      <c r="G1081" s="79"/>
      <c r="H1081" s="46"/>
    </row>
    <row r="1082" spans="6:8" ht="13.95" customHeight="1" x14ac:dyDescent="0.3">
      <c r="F1082" s="46" t="str">
        <f xml:space="preserve"> Inputs!E$374</f>
        <v>Warmteproductie NL, water</v>
      </c>
      <c r="G1082" s="79">
        <f xml:space="preserve"> Inputs!F$374</f>
        <v>9.8060999999999995E-5</v>
      </c>
      <c r="H1082" s="46" t="str">
        <f xml:space="preserve"> Inputs!G$374</f>
        <v>m3 / kwh</v>
      </c>
    </row>
    <row r="1083" spans="6:8" ht="1.95" customHeight="1" x14ac:dyDescent="0.3">
      <c r="F1083" s="46"/>
      <c r="G1083" s="79"/>
      <c r="H1083" s="46"/>
    </row>
    <row r="1084" spans="6:8" ht="13.95" customHeight="1" x14ac:dyDescent="0.3">
      <c r="F1084" s="46" t="str">
        <f xml:space="preserve"> Inputs!E$376</f>
        <v>Warmteproductie NL, GWP100</v>
      </c>
      <c r="G1084" s="79">
        <f xml:space="preserve"> Inputs!F$376</f>
        <v>2.6577E-2</v>
      </c>
      <c r="H1084" s="46" t="str">
        <f xml:space="preserve"> Inputs!G$376</f>
        <v>kg CO2-eq / kwh</v>
      </c>
    </row>
    <row r="1085" spans="6:8" ht="13.95" customHeight="1" x14ac:dyDescent="0.3"/>
    <row r="1086" spans="6:8" ht="13.95" customHeight="1" x14ac:dyDescent="0.3">
      <c r="F1086" s="68" t="s">
        <v>748</v>
      </c>
      <c r="G1086" s="75">
        <f>SUM(G1072:G1076)</f>
        <v>6.7310743999999991E-4</v>
      </c>
      <c r="H1086" s="68" t="s">
        <v>587</v>
      </c>
    </row>
    <row r="1087" spans="6:8" ht="13.95" customHeight="1" x14ac:dyDescent="0.3">
      <c r="F1087" s="68" t="s">
        <v>749</v>
      </c>
      <c r="G1087" s="75">
        <f>SUM(G1078:G1080)</f>
        <v>0.51868495758000011</v>
      </c>
      <c r="H1087" s="68" t="s">
        <v>587</v>
      </c>
    </row>
    <row r="1088" spans="6:8" ht="13.95" customHeight="1" x14ac:dyDescent="0.3">
      <c r="F1088" s="68" t="s">
        <v>746</v>
      </c>
      <c r="G1088" s="75">
        <f>G1082</f>
        <v>9.8060999999999995E-5</v>
      </c>
      <c r="H1088" s="68" t="s">
        <v>588</v>
      </c>
    </row>
    <row r="1089" spans="6:8" ht="13.95" customHeight="1" x14ac:dyDescent="0.3">
      <c r="F1089" s="68" t="s">
        <v>747</v>
      </c>
      <c r="G1089" s="75">
        <f>G1084</f>
        <v>2.6577E-2</v>
      </c>
      <c r="H1089" s="68" t="s">
        <v>589</v>
      </c>
    </row>
    <row r="1090" spans="6:8" ht="1.95" customHeight="1" x14ac:dyDescent="0.3"/>
    <row r="1091" spans="6:8" ht="13.95" customHeight="1" x14ac:dyDescent="0.3">
      <c r="F1091" s="64" t="str">
        <f xml:space="preserve"> F$1044</f>
        <v>Jaarlijkse warmteproductie, verbranding plastic</v>
      </c>
      <c r="G1091" s="97">
        <f xml:space="preserve"> G$1044</f>
        <v>2715.7036747834236</v>
      </c>
      <c r="H1091" s="64" t="str">
        <f xml:space="preserve"> H$1044</f>
        <v>kwh / jaar</v>
      </c>
    </row>
    <row r="1092" spans="6:8" ht="1.95" customHeight="1" x14ac:dyDescent="0.3"/>
    <row r="1093" spans="6:8" ht="13.95" customHeight="1" x14ac:dyDescent="0.3">
      <c r="F1093" s="68" t="s">
        <v>750</v>
      </c>
      <c r="G1093" s="66">
        <f>G1086*$G$1091</f>
        <v>1.8279603483320626</v>
      </c>
      <c r="H1093" s="64" t="str">
        <f xml:space="preserve"> H$629</f>
        <v>MJ-eq</v>
      </c>
    </row>
    <row r="1094" spans="6:8" ht="13.95" customHeight="1" x14ac:dyDescent="0.3">
      <c r="F1094" s="68" t="s">
        <v>751</v>
      </c>
      <c r="G1094" s="66">
        <f t="shared" ref="G1094:G1096" si="32">G1087*$G$1091</f>
        <v>1408.5946453548904</v>
      </c>
      <c r="H1094" s="64" t="str">
        <f xml:space="preserve"> H$630</f>
        <v>MJ-eq</v>
      </c>
    </row>
    <row r="1095" spans="6:8" ht="13.95" customHeight="1" x14ac:dyDescent="0.3">
      <c r="F1095" s="68" t="s">
        <v>752</v>
      </c>
      <c r="G1095" s="66">
        <f t="shared" si="32"/>
        <v>0.26630461805293731</v>
      </c>
      <c r="H1095" s="64" t="str">
        <f xml:space="preserve"> H$631</f>
        <v>m3</v>
      </c>
    </row>
    <row r="1096" spans="6:8" ht="13.95" customHeight="1" x14ac:dyDescent="0.3">
      <c r="F1096" s="68" t="s">
        <v>753</v>
      </c>
      <c r="G1096" s="66">
        <f t="shared" si="32"/>
        <v>72.175256564719049</v>
      </c>
      <c r="H1096" s="64" t="str">
        <f xml:space="preserve"> H$632</f>
        <v>kg CO2-eq</v>
      </c>
    </row>
    <row r="1097" spans="6:8" ht="13.95" customHeight="1" x14ac:dyDescent="0.3"/>
    <row r="1098" spans="6:8" ht="13.95" customHeight="1" x14ac:dyDescent="0.3">
      <c r="F1098" s="64" t="str">
        <f xml:space="preserve"> F$1067</f>
        <v>Totale impact elektriciteitsproductie plasticverbranden, hernieuwbare energie</v>
      </c>
      <c r="G1098" s="67">
        <f xml:space="preserve"> G$1067</f>
        <v>4532.2101416803662</v>
      </c>
      <c r="H1098" s="64" t="str">
        <f xml:space="preserve"> H$1067</f>
        <v>MJ-eq</v>
      </c>
    </row>
    <row r="1099" spans="6:8" ht="13.95" customHeight="1" x14ac:dyDescent="0.3">
      <c r="F1099" s="64" t="str">
        <f xml:space="preserve"> F$1068</f>
        <v>Totale impact elektriciteitsproductie plasticverbranden, niet-hernieuwbare energie</v>
      </c>
      <c r="G1099" s="67">
        <f xml:space="preserve"> G$1068</f>
        <v>21995.946724470847</v>
      </c>
      <c r="H1099" s="64" t="str">
        <f xml:space="preserve"> H$1068</f>
        <v>MJ-eq</v>
      </c>
    </row>
    <row r="1100" spans="6:8" ht="13.95" customHeight="1" x14ac:dyDescent="0.3">
      <c r="F1100" s="64" t="str">
        <f xml:space="preserve"> F$1069</f>
        <v>Totale impact elektriciteitsproductie plasticverbranden, water</v>
      </c>
      <c r="G1100" s="67">
        <f xml:space="preserve"> G$1069</f>
        <v>2.2080500253399404</v>
      </c>
      <c r="H1100" s="64" t="str">
        <f xml:space="preserve"> H$1069</f>
        <v>m3</v>
      </c>
    </row>
    <row r="1101" spans="6:8" ht="13.95" customHeight="1" x14ac:dyDescent="0.3">
      <c r="F1101" s="64" t="str">
        <f xml:space="preserve"> F$1070</f>
        <v>Totale impact elektriciteitsproductie plasticverbranden, GWP100</v>
      </c>
      <c r="G1101" s="67">
        <f xml:space="preserve"> G$1070</f>
        <v>682.37195521268291</v>
      </c>
      <c r="H1101" s="64" t="str">
        <f xml:space="preserve"> H$1070</f>
        <v>kg CO2-eq</v>
      </c>
    </row>
    <row r="1102" spans="6:8" ht="1.95" customHeight="1" x14ac:dyDescent="0.3"/>
    <row r="1103" spans="6:8" ht="13.95" customHeight="1" x14ac:dyDescent="0.3">
      <c r="F1103" s="64" t="str">
        <f xml:space="preserve"> F$1093</f>
        <v>Totale impact warmteproductie plasticverbranden, hernieuwbare energie</v>
      </c>
      <c r="G1103" s="67">
        <f xml:space="preserve"> G$1093</f>
        <v>1.8279603483320626</v>
      </c>
      <c r="H1103" s="64" t="str">
        <f xml:space="preserve"> H$1093</f>
        <v>MJ-eq</v>
      </c>
    </row>
    <row r="1104" spans="6:8" ht="13.95" customHeight="1" x14ac:dyDescent="0.3">
      <c r="F1104" s="64" t="str">
        <f xml:space="preserve"> F$1094</f>
        <v>Totale impact warmteproductie plasticverbranden, niet-hernieuwbare energie</v>
      </c>
      <c r="G1104" s="67">
        <f xml:space="preserve"> G$1094</f>
        <v>1408.5946453548904</v>
      </c>
      <c r="H1104" s="64" t="str">
        <f xml:space="preserve"> H$1094</f>
        <v>MJ-eq</v>
      </c>
    </row>
    <row r="1105" spans="4:11" ht="13.95" customHeight="1" x14ac:dyDescent="0.3">
      <c r="F1105" s="64" t="str">
        <f xml:space="preserve"> F$1095</f>
        <v>Totale impact warmteproductie plasticverbranden, water</v>
      </c>
      <c r="G1105" s="67">
        <f xml:space="preserve"> G$1095</f>
        <v>0.26630461805293731</v>
      </c>
      <c r="H1105" s="64" t="str">
        <f xml:space="preserve"> H$1095</f>
        <v>m3</v>
      </c>
    </row>
    <row r="1106" spans="4:11" ht="13.95" customHeight="1" x14ac:dyDescent="0.3">
      <c r="F1106" s="64" t="str">
        <f xml:space="preserve"> F$1096</f>
        <v>Totale impact warmteproductie plasticverbranden, GWP100</v>
      </c>
      <c r="G1106" s="67">
        <f xml:space="preserve"> G$1096</f>
        <v>72.175256564719049</v>
      </c>
      <c r="H1106" s="64" t="str">
        <f xml:space="preserve"> H$1096</f>
        <v>kg CO2-eq</v>
      </c>
    </row>
    <row r="1107" spans="4:11" ht="1.95" customHeight="1" x14ac:dyDescent="0.3"/>
    <row r="1108" spans="4:11" ht="13.95" customHeight="1" x14ac:dyDescent="0.3">
      <c r="F1108" s="81" t="s">
        <v>754</v>
      </c>
      <c r="G1108" s="66">
        <f>(G1098+G1103)*-1</f>
        <v>-4534.0381020286986</v>
      </c>
      <c r="H1108" s="64" t="str">
        <f xml:space="preserve"> H$1093</f>
        <v>MJ-eq</v>
      </c>
      <c r="K1108" t="s">
        <v>758</v>
      </c>
    </row>
    <row r="1109" spans="4:11" ht="13.95" customHeight="1" x14ac:dyDescent="0.3">
      <c r="F1109" s="81" t="s">
        <v>755</v>
      </c>
      <c r="G1109" s="66">
        <f t="shared" ref="G1109:G1111" si="33">(G1099+G1104)*-1</f>
        <v>-23404.541369825736</v>
      </c>
      <c r="H1109" s="64" t="str">
        <f xml:space="preserve"> H$1094</f>
        <v>MJ-eq</v>
      </c>
    </row>
    <row r="1110" spans="4:11" ht="13.95" customHeight="1" x14ac:dyDescent="0.3">
      <c r="F1110" s="81" t="s">
        <v>756</v>
      </c>
      <c r="G1110" s="66">
        <f t="shared" si="33"/>
        <v>-2.4743546433928776</v>
      </c>
      <c r="H1110" s="64" t="str">
        <f xml:space="preserve"> H$1095</f>
        <v>m3</v>
      </c>
    </row>
    <row r="1111" spans="4:11" ht="13.95" customHeight="1" x14ac:dyDescent="0.3">
      <c r="F1111" s="81" t="s">
        <v>757</v>
      </c>
      <c r="G1111" s="66">
        <f t="shared" si="33"/>
        <v>-754.54721177740191</v>
      </c>
      <c r="H1111" s="64" t="str">
        <f xml:space="preserve"> H$1096</f>
        <v>kg CO2-eq</v>
      </c>
    </row>
    <row r="1112" spans="4:11" ht="13.95" customHeight="1" x14ac:dyDescent="0.3"/>
    <row r="1113" spans="4:11" ht="13.95" customHeight="1" x14ac:dyDescent="0.3">
      <c r="D1113" t="s">
        <v>767</v>
      </c>
    </row>
    <row r="1114" spans="4:11" ht="13.95" customHeight="1" x14ac:dyDescent="0.3">
      <c r="F1114" s="64" t="str">
        <f xml:space="preserve"> F$1002</f>
        <v>Totale impact verwerken gescheiden plastic, hernieuwbare energie</v>
      </c>
      <c r="G1114" s="67">
        <f xml:space="preserve"> G$1002</f>
        <v>974.22292304251209</v>
      </c>
      <c r="H1114" s="64" t="str">
        <f xml:space="preserve"> H$1002</f>
        <v>MJ-eq</v>
      </c>
    </row>
    <row r="1115" spans="4:11" ht="13.95" customHeight="1" x14ac:dyDescent="0.3">
      <c r="F1115" s="64" t="str">
        <f xml:space="preserve"> F$1003</f>
        <v>Totale impact verwerken gescheiden plastic, niet-hernieuwbare energie</v>
      </c>
      <c r="G1115" s="67">
        <f xml:space="preserve"> G$1003</f>
        <v>-116286.1101252646</v>
      </c>
      <c r="H1115" s="64" t="str">
        <f xml:space="preserve"> H$1003</f>
        <v>MJ-eq</v>
      </c>
    </row>
    <row r="1116" spans="4:11" ht="13.95" customHeight="1" x14ac:dyDescent="0.3">
      <c r="F1116" s="64" t="str">
        <f xml:space="preserve"> F$1004</f>
        <v>Totale impact verwerken gescheiden plastic, water</v>
      </c>
      <c r="G1116" s="67">
        <f xml:space="preserve"> G$1004</f>
        <v>11.57716857648</v>
      </c>
      <c r="H1116" s="64" t="str">
        <f xml:space="preserve"> H$1004</f>
        <v>m3</v>
      </c>
    </row>
    <row r="1117" spans="4:11" ht="13.95" customHeight="1" x14ac:dyDescent="0.3">
      <c r="F1117" s="64" t="str">
        <f xml:space="preserve"> F$1005</f>
        <v>Totale impact verwerken gescheiden plastic, GWP100</v>
      </c>
      <c r="G1117" s="67">
        <f xml:space="preserve"> G$1005</f>
        <v>-2633.5017408960002</v>
      </c>
      <c r="H1117" s="64" t="str">
        <f xml:space="preserve"> H$1005</f>
        <v>kg CO2-eq</v>
      </c>
    </row>
    <row r="1118" spans="4:11" ht="1.95" customHeight="1" x14ac:dyDescent="0.3"/>
    <row r="1119" spans="4:11" ht="13.95" customHeight="1" x14ac:dyDescent="0.3">
      <c r="F1119" s="64" t="str">
        <f xml:space="preserve"> F$1030</f>
        <v>Totale impact verbranden restafval plastic, hernieuwbare energie</v>
      </c>
      <c r="G1119" s="67">
        <f xml:space="preserve"> G$1030</f>
        <v>20.140966139839996</v>
      </c>
      <c r="H1119" s="64" t="str">
        <f xml:space="preserve"> H$1030</f>
        <v>MJ-eq</v>
      </c>
    </row>
    <row r="1120" spans="4:11" ht="13.95" customHeight="1" x14ac:dyDescent="0.3">
      <c r="F1120" s="64" t="str">
        <f xml:space="preserve"> F$1031</f>
        <v>Totale impact verbranden restafval plastic, niet-hernieuwbare energie</v>
      </c>
      <c r="G1120" s="67">
        <f xml:space="preserve"> G$1031</f>
        <v>552.67486474719999</v>
      </c>
      <c r="H1120" s="64" t="str">
        <f xml:space="preserve"> H$1031</f>
        <v>MJ-eq</v>
      </c>
    </row>
    <row r="1121" spans="6:8" ht="13.95" customHeight="1" x14ac:dyDescent="0.3">
      <c r="F1121" s="64" t="str">
        <f xml:space="preserve"> F$1032</f>
        <v>Totale impact verbranden restafval plastic, water</v>
      </c>
      <c r="G1121" s="67">
        <f xml:space="preserve"> G$1032</f>
        <v>4.711182278399999</v>
      </c>
      <c r="H1121" s="64" t="str">
        <f xml:space="preserve"> H$1032</f>
        <v>m3</v>
      </c>
    </row>
    <row r="1122" spans="6:8" ht="13.95" customHeight="1" x14ac:dyDescent="0.3">
      <c r="F1122" s="64" t="str">
        <f xml:space="preserve"> F$1033</f>
        <v>Totale impact verbranden restafval plastic, GWP100</v>
      </c>
      <c r="G1122" s="67">
        <f xml:space="preserve"> G$1033</f>
        <v>2819.6332735999995</v>
      </c>
      <c r="H1122" s="64" t="str">
        <f xml:space="preserve"> H$1033</f>
        <v>kg CO2-eq</v>
      </c>
    </row>
    <row r="1123" spans="6:8" ht="1.95" customHeight="1" x14ac:dyDescent="0.3"/>
    <row r="1124" spans="6:8" ht="13.95" customHeight="1" x14ac:dyDescent="0.3">
      <c r="F1124" s="64" t="str">
        <f xml:space="preserve"> F$1108</f>
        <v>Totale impact energieproductie plasticverbranden, hernieuwbare energie</v>
      </c>
      <c r="G1124" s="67">
        <f xml:space="preserve"> G$1108</f>
        <v>-4534.0381020286986</v>
      </c>
      <c r="H1124" s="64" t="str">
        <f xml:space="preserve"> H$1108</f>
        <v>MJ-eq</v>
      </c>
    </row>
    <row r="1125" spans="6:8" ht="13.95" customHeight="1" x14ac:dyDescent="0.3">
      <c r="F1125" s="64" t="str">
        <f xml:space="preserve"> F$1109</f>
        <v>Totale impact energieproductie plasticverbranden, niet-hernieuwbare energie</v>
      </c>
      <c r="G1125" s="67">
        <f xml:space="preserve"> G$1109</f>
        <v>-23404.541369825736</v>
      </c>
      <c r="H1125" s="64" t="str">
        <f xml:space="preserve"> H$1109</f>
        <v>MJ-eq</v>
      </c>
    </row>
    <row r="1126" spans="6:8" ht="13.95" customHeight="1" x14ac:dyDescent="0.3">
      <c r="F1126" s="64" t="str">
        <f xml:space="preserve"> F$1110</f>
        <v>Totale impact energieproductie plasticverbranden, water</v>
      </c>
      <c r="G1126" s="67">
        <f xml:space="preserve"> G$1110</f>
        <v>-2.4743546433928776</v>
      </c>
      <c r="H1126" s="64" t="str">
        <f xml:space="preserve"> H$1110</f>
        <v>m3</v>
      </c>
    </row>
    <row r="1127" spans="6:8" ht="13.95" customHeight="1" x14ac:dyDescent="0.3">
      <c r="F1127" s="64" t="str">
        <f xml:space="preserve"> F$1111</f>
        <v>Totale impact energieproductie plasticverbranden, GWP100</v>
      </c>
      <c r="G1127" s="67">
        <f xml:space="preserve"> G$1111</f>
        <v>-754.54721177740191</v>
      </c>
      <c r="H1127" s="64" t="str">
        <f xml:space="preserve"> H$1111</f>
        <v>kg CO2-eq</v>
      </c>
    </row>
    <row r="1128" spans="6:8" ht="1.95" customHeight="1" x14ac:dyDescent="0.3"/>
    <row r="1129" spans="6:8" ht="13.95" customHeight="1" x14ac:dyDescent="0.3">
      <c r="F1129" t="s">
        <v>763</v>
      </c>
      <c r="G1129" s="101">
        <f>G1114+G1119+G1124</f>
        <v>-3539.6742128463466</v>
      </c>
      <c r="H1129" s="64" t="str">
        <f xml:space="preserve"> H$1108</f>
        <v>MJ-eq</v>
      </c>
    </row>
    <row r="1130" spans="6:8" ht="13.95" customHeight="1" x14ac:dyDescent="0.3">
      <c r="F1130" t="s">
        <v>764</v>
      </c>
      <c r="G1130" s="101">
        <f t="shared" ref="G1130:G1132" si="34">G1115+G1120+G1125</f>
        <v>-139137.97663034315</v>
      </c>
      <c r="H1130" s="64" t="str">
        <f xml:space="preserve"> H$1109</f>
        <v>MJ-eq</v>
      </c>
    </row>
    <row r="1131" spans="6:8" ht="13.95" customHeight="1" x14ac:dyDescent="0.3">
      <c r="F1131" t="s">
        <v>765</v>
      </c>
      <c r="G1131" s="101">
        <f t="shared" si="34"/>
        <v>13.813996211487122</v>
      </c>
      <c r="H1131" s="64" t="str">
        <f xml:space="preserve"> H$1110</f>
        <v>m3</v>
      </c>
    </row>
    <row r="1132" spans="6:8" ht="13.95" customHeight="1" x14ac:dyDescent="0.3">
      <c r="F1132" t="s">
        <v>766</v>
      </c>
      <c r="G1132" s="101">
        <f t="shared" si="34"/>
        <v>-568.41567907340266</v>
      </c>
      <c r="H1132" s="64" t="str">
        <f xml:space="preserve"> H$1111</f>
        <v>kg CO2-eq</v>
      </c>
    </row>
    <row r="1133" spans="6:8" ht="13.95" customHeight="1" x14ac:dyDescent="0.3"/>
    <row r="1134" spans="6:8" ht="13.95" customHeight="1" x14ac:dyDescent="0.3"/>
    <row r="1135" spans="6:8" ht="13.95" customHeight="1" x14ac:dyDescent="0.3"/>
    <row r="1136" spans="6:8" ht="13.95" customHeight="1" x14ac:dyDescent="0.3"/>
    <row r="1137" ht="13.95" customHeight="1" x14ac:dyDescent="0.3"/>
    <row r="1138" ht="13.95" customHeight="1" x14ac:dyDescent="0.3"/>
    <row r="1139" ht="13.95" customHeight="1" x14ac:dyDescent="0.3"/>
    <row r="1140" ht="13.95" customHeight="1" x14ac:dyDescent="0.3"/>
    <row r="1141" ht="13.95" customHeight="1" x14ac:dyDescent="0.3"/>
    <row r="1142" ht="13.95" customHeight="1" x14ac:dyDescent="0.3"/>
    <row r="1143" ht="13.95" customHeight="1" x14ac:dyDescent="0.3"/>
    <row r="1144" ht="13.95" customHeight="1" x14ac:dyDescent="0.3"/>
    <row r="1145" ht="13.95" customHeight="1" x14ac:dyDescent="0.3"/>
    <row r="1146" ht="13.95" customHeight="1" x14ac:dyDescent="0.3"/>
    <row r="1147" ht="13.95" customHeight="1" x14ac:dyDescent="0.3"/>
    <row r="1148" ht="13.95" customHeight="1" x14ac:dyDescent="0.3"/>
    <row r="1149" ht="13.95" customHeight="1" x14ac:dyDescent="0.3"/>
    <row r="1150" ht="13.95" customHeight="1" x14ac:dyDescent="0.3"/>
    <row r="1151" ht="13.95" customHeight="1" x14ac:dyDescent="0.3"/>
    <row r="1152" ht="13.95" customHeight="1" x14ac:dyDescent="0.3"/>
    <row r="1153" ht="13.95" customHeight="1" x14ac:dyDescent="0.3"/>
    <row r="1154" ht="13.95" customHeight="1" x14ac:dyDescent="0.3"/>
    <row r="1155" ht="13.95" customHeight="1" x14ac:dyDescent="0.3"/>
    <row r="1156" ht="13.95" customHeight="1" x14ac:dyDescent="0.3"/>
    <row r="1157" ht="13.95" customHeight="1" x14ac:dyDescent="0.3"/>
    <row r="1158" ht="13.95" customHeight="1" x14ac:dyDescent="0.3"/>
    <row r="1159" ht="13.95" customHeight="1" x14ac:dyDescent="0.3"/>
    <row r="1160" ht="13.95" customHeight="1" x14ac:dyDescent="0.3"/>
    <row r="1161" ht="13.95" customHeight="1" x14ac:dyDescent="0.3"/>
    <row r="1162" ht="13.95" customHeight="1" x14ac:dyDescent="0.3"/>
    <row r="1163" ht="13.95" customHeight="1" x14ac:dyDescent="0.3"/>
    <row r="1164" ht="13.95" customHeight="1" x14ac:dyDescent="0.3"/>
    <row r="1165" ht="13.95" customHeight="1" x14ac:dyDescent="0.3"/>
    <row r="1166" ht="13.95" customHeight="1" x14ac:dyDescent="0.3"/>
    <row r="1167" ht="13.95" customHeight="1" x14ac:dyDescent="0.3"/>
    <row r="1168" ht="13.95" customHeight="1" x14ac:dyDescent="0.3"/>
    <row r="1169" ht="13.95" customHeight="1" x14ac:dyDescent="0.3"/>
    <row r="1170" ht="13.95" customHeight="1" x14ac:dyDescent="0.3"/>
    <row r="1171" ht="13.95" customHeight="1" x14ac:dyDescent="0.3"/>
    <row r="1172" ht="13.95" customHeight="1" x14ac:dyDescent="0.3"/>
    <row r="1173" ht="13.95" customHeight="1" x14ac:dyDescent="0.3"/>
    <row r="1174" ht="13.95" customHeight="1" x14ac:dyDescent="0.3"/>
    <row r="1175" ht="13.95" customHeight="1" x14ac:dyDescent="0.3"/>
    <row r="1176" ht="13.95" customHeight="1" x14ac:dyDescent="0.3"/>
    <row r="1177" ht="13.95" customHeight="1" x14ac:dyDescent="0.3"/>
    <row r="1178" ht="13.95" customHeight="1" x14ac:dyDescent="0.3"/>
    <row r="1179" ht="13.95" customHeight="1" x14ac:dyDescent="0.3"/>
    <row r="1180" ht="13.95" customHeight="1" x14ac:dyDescent="0.3"/>
    <row r="1181" ht="13.95" customHeight="1" x14ac:dyDescent="0.3"/>
    <row r="1182" ht="13.95" customHeight="1" x14ac:dyDescent="0.3"/>
    <row r="1183" ht="13.95" customHeight="1" x14ac:dyDescent="0.3"/>
    <row r="1184" ht="13.95" customHeight="1" x14ac:dyDescent="0.3"/>
    <row r="1185" ht="13.95" customHeight="1" x14ac:dyDescent="0.3"/>
    <row r="1186" ht="13.95" customHeight="1" x14ac:dyDescent="0.3"/>
    <row r="1187" ht="13.95" customHeight="1" x14ac:dyDescent="0.3"/>
    <row r="1188" ht="13.95" customHeight="1" x14ac:dyDescent="0.3"/>
    <row r="1189" ht="13.95" customHeight="1" x14ac:dyDescent="0.3"/>
    <row r="1190" ht="13.95" customHeight="1" x14ac:dyDescent="0.3"/>
    <row r="1191" ht="13.95" customHeight="1" x14ac:dyDescent="0.3"/>
    <row r="1192" ht="13.95" customHeight="1" x14ac:dyDescent="0.3"/>
    <row r="1193" ht="13.95" customHeight="1" x14ac:dyDescent="0.3"/>
    <row r="1194" ht="13.95" customHeight="1" x14ac:dyDescent="0.3"/>
    <row r="1195" ht="13.95" customHeight="1" x14ac:dyDescent="0.3"/>
    <row r="1196" ht="13.95" customHeight="1" x14ac:dyDescent="0.3"/>
    <row r="1197" ht="13.95" customHeight="1" x14ac:dyDescent="0.3"/>
    <row r="1198" ht="13.95" customHeight="1" x14ac:dyDescent="0.3"/>
    <row r="1199" ht="13.95" customHeight="1" x14ac:dyDescent="0.3"/>
    <row r="1200" ht="13.95" customHeight="1" x14ac:dyDescent="0.3"/>
    <row r="1201" ht="13.95" customHeight="1" x14ac:dyDescent="0.3"/>
    <row r="1202" ht="13.95" customHeight="1" x14ac:dyDescent="0.3"/>
    <row r="1203" ht="13.95" customHeight="1" x14ac:dyDescent="0.3"/>
    <row r="1204" ht="13.95" customHeight="1" x14ac:dyDescent="0.3"/>
    <row r="1205" ht="13.95" customHeight="1" x14ac:dyDescent="0.3"/>
    <row r="1206" ht="13.95" customHeight="1" x14ac:dyDescent="0.3"/>
    <row r="1207" ht="13.95" customHeight="1" x14ac:dyDescent="0.3"/>
    <row r="1208" ht="13.95" customHeight="1" x14ac:dyDescent="0.3"/>
    <row r="1209" ht="13.95" customHeight="1" x14ac:dyDescent="0.3"/>
    <row r="1210" ht="13.95" customHeight="1" x14ac:dyDescent="0.3"/>
    <row r="1211" ht="13.95" customHeight="1" x14ac:dyDescent="0.3"/>
    <row r="1212" ht="13.95" customHeight="1" x14ac:dyDescent="0.3"/>
    <row r="1213" ht="13.95" customHeight="1" x14ac:dyDescent="0.3"/>
    <row r="1214" ht="13.95" customHeight="1" x14ac:dyDescent="0.3"/>
    <row r="1215" ht="13.95" customHeight="1" x14ac:dyDescent="0.3"/>
    <row r="1216" ht="13.95" customHeight="1" x14ac:dyDescent="0.3"/>
    <row r="1217" ht="13.95" customHeight="1" x14ac:dyDescent="0.3"/>
    <row r="1218" ht="13.95" customHeight="1" x14ac:dyDescent="0.3"/>
    <row r="1219" ht="13.95" customHeight="1" x14ac:dyDescent="0.3"/>
    <row r="1220" ht="13.95" customHeight="1" x14ac:dyDescent="0.3"/>
    <row r="1221" ht="13.95" customHeight="1" x14ac:dyDescent="0.3"/>
    <row r="1222" ht="13.95" customHeight="1" x14ac:dyDescent="0.3"/>
    <row r="1223" ht="13.95" customHeight="1" x14ac:dyDescent="0.3"/>
    <row r="1224" ht="13.95" customHeight="1" x14ac:dyDescent="0.3"/>
    <row r="1225" ht="13.95" customHeight="1" x14ac:dyDescent="0.3"/>
    <row r="1226" ht="13.95" customHeight="1" x14ac:dyDescent="0.3"/>
    <row r="1227" ht="13.95" customHeight="1" x14ac:dyDescent="0.3"/>
    <row r="1228" ht="13.95" customHeight="1" x14ac:dyDescent="0.3"/>
    <row r="1229" ht="13.95" customHeight="1" x14ac:dyDescent="0.3"/>
    <row r="1230" ht="13.95" customHeight="1" x14ac:dyDescent="0.3"/>
    <row r="1231" ht="13.95" customHeight="1" x14ac:dyDescent="0.3"/>
    <row r="1232" ht="13.95" customHeight="1" x14ac:dyDescent="0.3"/>
    <row r="1233" ht="13.95" customHeight="1" x14ac:dyDescent="0.3"/>
    <row r="1234" ht="13.95" customHeight="1" x14ac:dyDescent="0.3"/>
    <row r="1235" ht="13.95" customHeight="1" x14ac:dyDescent="0.3"/>
    <row r="1236" ht="13.95" customHeight="1" x14ac:dyDescent="0.3"/>
    <row r="1237" ht="13.95" customHeight="1" x14ac:dyDescent="0.3"/>
    <row r="1238" ht="13.95" customHeight="1" x14ac:dyDescent="0.3"/>
    <row r="1239" ht="13.95" customHeight="1" x14ac:dyDescent="0.3"/>
    <row r="1240" ht="13.95" customHeight="1" x14ac:dyDescent="0.3"/>
    <row r="1241" ht="13.95" customHeight="1" x14ac:dyDescent="0.3"/>
    <row r="1242" ht="13.95" customHeight="1" x14ac:dyDescent="0.3"/>
    <row r="1243" ht="13.95" customHeight="1" x14ac:dyDescent="0.3"/>
    <row r="1244" ht="13.95" customHeight="1" x14ac:dyDescent="0.3"/>
    <row r="1245" ht="13.95" customHeight="1" x14ac:dyDescent="0.3"/>
    <row r="1246" ht="13.95" customHeight="1" x14ac:dyDescent="0.3"/>
    <row r="1247" ht="13.95" customHeight="1" x14ac:dyDescent="0.3"/>
    <row r="1248" ht="13.95" customHeight="1" x14ac:dyDescent="0.3"/>
    <row r="1249" ht="13.95" customHeight="1" x14ac:dyDescent="0.3"/>
    <row r="1250" ht="13.95" customHeight="1" x14ac:dyDescent="0.3"/>
    <row r="1251" ht="13.95" customHeight="1" x14ac:dyDescent="0.3"/>
    <row r="1252" ht="13.95" customHeight="1" x14ac:dyDescent="0.3"/>
    <row r="1253" ht="13.95" customHeight="1" x14ac:dyDescent="0.3"/>
    <row r="1254" ht="13.95" customHeight="1" x14ac:dyDescent="0.3"/>
    <row r="1255" ht="13.95" customHeight="1" x14ac:dyDescent="0.3"/>
    <row r="1256" ht="13.95" customHeight="1" x14ac:dyDescent="0.3"/>
    <row r="1257" ht="13.95" customHeight="1" x14ac:dyDescent="0.3"/>
    <row r="1258" ht="13.95" customHeight="1" x14ac:dyDescent="0.3"/>
    <row r="1259" ht="13.95" customHeight="1" x14ac:dyDescent="0.3"/>
    <row r="1260" ht="13.95" customHeight="1" x14ac:dyDescent="0.3"/>
    <row r="1261" ht="13.95" customHeight="1" x14ac:dyDescent="0.3"/>
    <row r="1262" ht="13.95" customHeight="1" x14ac:dyDescent="0.3"/>
    <row r="1263" ht="13.95" customHeight="1" x14ac:dyDescent="0.3"/>
    <row r="1264" ht="13.95" customHeight="1" x14ac:dyDescent="0.3"/>
    <row r="1265" ht="13.95" customHeight="1" x14ac:dyDescent="0.3"/>
    <row r="1266" ht="13.95" customHeight="1" x14ac:dyDescent="0.3"/>
    <row r="1267" ht="13.95" customHeight="1" x14ac:dyDescent="0.3"/>
    <row r="1268" ht="13.95" customHeight="1" x14ac:dyDescent="0.3"/>
    <row r="1269" ht="13.95" customHeight="1" x14ac:dyDescent="0.3"/>
    <row r="1270" ht="13.95" customHeight="1" x14ac:dyDescent="0.3"/>
    <row r="1271" ht="13.95" customHeight="1" x14ac:dyDescent="0.3"/>
    <row r="1272" ht="13.95" customHeight="1" x14ac:dyDescent="0.3"/>
    <row r="1273" ht="13.95" customHeight="1" x14ac:dyDescent="0.3"/>
    <row r="1274" ht="13.95" customHeight="1" x14ac:dyDescent="0.3"/>
    <row r="1275" ht="13.95" customHeight="1" x14ac:dyDescent="0.3"/>
    <row r="1276" ht="13.95" customHeight="1" x14ac:dyDescent="0.3"/>
    <row r="1277" ht="13.95" customHeight="1" x14ac:dyDescent="0.3"/>
    <row r="1278" ht="13.95" customHeight="1" x14ac:dyDescent="0.3"/>
    <row r="1279" ht="13.95" customHeight="1" x14ac:dyDescent="0.3"/>
    <row r="1280" ht="13.95" customHeight="1" x14ac:dyDescent="0.3"/>
    <row r="1281" ht="13.95" customHeight="1" x14ac:dyDescent="0.3"/>
    <row r="1282" ht="13.95" customHeight="1" x14ac:dyDescent="0.3"/>
    <row r="1283" ht="13.95" customHeight="1" x14ac:dyDescent="0.3"/>
    <row r="1284" ht="13.95" customHeight="1" x14ac:dyDescent="0.3"/>
    <row r="1285" ht="13.95" customHeight="1" x14ac:dyDescent="0.3"/>
    <row r="1286" ht="13.95" customHeight="1" x14ac:dyDescent="0.3"/>
    <row r="1287" ht="13.95" customHeight="1" x14ac:dyDescent="0.3"/>
    <row r="1288" ht="13.95" customHeight="1" x14ac:dyDescent="0.3"/>
    <row r="1289" ht="13.95" customHeight="1" x14ac:dyDescent="0.3"/>
    <row r="1290" ht="13.95" customHeight="1" x14ac:dyDescent="0.3"/>
    <row r="1291" ht="13.95" customHeight="1" x14ac:dyDescent="0.3"/>
    <row r="1292" ht="13.95" customHeight="1" x14ac:dyDescent="0.3"/>
    <row r="1293" ht="13.95" customHeight="1" x14ac:dyDescent="0.3"/>
    <row r="1294" ht="13.95" customHeight="1" x14ac:dyDescent="0.3"/>
    <row r="1295" ht="13.95" customHeight="1" x14ac:dyDescent="0.3"/>
    <row r="1296" ht="13.95" customHeight="1" x14ac:dyDescent="0.3"/>
    <row r="1297" ht="13.95" customHeight="1" x14ac:dyDescent="0.3"/>
    <row r="1298" ht="13.95" customHeight="1" x14ac:dyDescent="0.3"/>
    <row r="1299" ht="13.95" customHeight="1" x14ac:dyDescent="0.3"/>
    <row r="1300" ht="13.95" customHeight="1" x14ac:dyDescent="0.3"/>
    <row r="1301" ht="13.95" customHeight="1" x14ac:dyDescent="0.3"/>
    <row r="1302" ht="13.95" customHeight="1" x14ac:dyDescent="0.3"/>
    <row r="1303" ht="13.95" customHeight="1" x14ac:dyDescent="0.3"/>
    <row r="1304" ht="13.95" customHeight="1" x14ac:dyDescent="0.3"/>
    <row r="1305" ht="13.95" customHeight="1" x14ac:dyDescent="0.3"/>
    <row r="1306" ht="13.95" customHeight="1" x14ac:dyDescent="0.3"/>
    <row r="1307" ht="13.95" customHeight="1" x14ac:dyDescent="0.3"/>
    <row r="1308" ht="13.95" customHeight="1" x14ac:dyDescent="0.3"/>
    <row r="1309" ht="13.95" customHeight="1" x14ac:dyDescent="0.3"/>
    <row r="1310" ht="13.95" customHeight="1" x14ac:dyDescent="0.3"/>
    <row r="1311" ht="13.95" customHeight="1" x14ac:dyDescent="0.3"/>
    <row r="1312" ht="13.95" customHeight="1" x14ac:dyDescent="0.3"/>
    <row r="1313" ht="13.95" customHeight="1" x14ac:dyDescent="0.3"/>
    <row r="1314" ht="13.95" customHeight="1" x14ac:dyDescent="0.3"/>
    <row r="1315" ht="13.95" customHeight="1" x14ac:dyDescent="0.3"/>
    <row r="1316" ht="13.95" customHeight="1" x14ac:dyDescent="0.3"/>
    <row r="1317" ht="13.95" customHeight="1" x14ac:dyDescent="0.3"/>
    <row r="1318" ht="13.95" customHeight="1" x14ac:dyDescent="0.3"/>
    <row r="1319" ht="13.95" customHeight="1" x14ac:dyDescent="0.3"/>
    <row r="1320" ht="13.95" customHeight="1" x14ac:dyDescent="0.3"/>
    <row r="1321" ht="13.95" customHeight="1" x14ac:dyDescent="0.3"/>
    <row r="1322" ht="13.95" customHeight="1" x14ac:dyDescent="0.3"/>
    <row r="1323" ht="13.95" customHeight="1" x14ac:dyDescent="0.3"/>
    <row r="1324" ht="13.95" customHeight="1" x14ac:dyDescent="0.3"/>
    <row r="1325" ht="13.95" customHeight="1" x14ac:dyDescent="0.3"/>
    <row r="1326" ht="13.95" customHeight="1" x14ac:dyDescent="0.3"/>
    <row r="1327" ht="13.95" customHeight="1" x14ac:dyDescent="0.3"/>
    <row r="1328" ht="13.95" customHeight="1" x14ac:dyDescent="0.3"/>
    <row r="1329" ht="13.95" customHeight="1" x14ac:dyDescent="0.3"/>
    <row r="1330" ht="13.95" customHeight="1" x14ac:dyDescent="0.3"/>
    <row r="1331" ht="13.95" customHeight="1" x14ac:dyDescent="0.3"/>
    <row r="1332" ht="13.95" customHeight="1" x14ac:dyDescent="0.3"/>
    <row r="1333" ht="13.95" customHeight="1" x14ac:dyDescent="0.3"/>
    <row r="1334" ht="13.95" customHeight="1" x14ac:dyDescent="0.3"/>
    <row r="1335" ht="13.95" customHeight="1" x14ac:dyDescent="0.3"/>
    <row r="1336" ht="13.95" customHeight="1" x14ac:dyDescent="0.3"/>
    <row r="1337" ht="13.95" customHeight="1" x14ac:dyDescent="0.3"/>
    <row r="1338" ht="13.95" customHeight="1" x14ac:dyDescent="0.3"/>
    <row r="1339" ht="13.95" customHeight="1" x14ac:dyDescent="0.3"/>
    <row r="1340" ht="13.95" customHeight="1" x14ac:dyDescent="0.3"/>
    <row r="1341" ht="13.95" customHeight="1" x14ac:dyDescent="0.3"/>
    <row r="1342" ht="13.95" customHeight="1" x14ac:dyDescent="0.3"/>
    <row r="1343" ht="13.95" customHeight="1" x14ac:dyDescent="0.3"/>
    <row r="1344" ht="13.95" customHeight="1" x14ac:dyDescent="0.3"/>
    <row r="1345" ht="13.95" customHeight="1" x14ac:dyDescent="0.3"/>
    <row r="1346" ht="13.95" customHeight="1" x14ac:dyDescent="0.3"/>
    <row r="1347" ht="13.95" customHeight="1" x14ac:dyDescent="0.3"/>
    <row r="1348" ht="13.95" customHeight="1" x14ac:dyDescent="0.3"/>
    <row r="1349" ht="13.95" customHeight="1" x14ac:dyDescent="0.3"/>
    <row r="1350" ht="13.95" customHeight="1" x14ac:dyDescent="0.3"/>
    <row r="1351" ht="13.95" customHeight="1" x14ac:dyDescent="0.3"/>
    <row r="1352" ht="13.95" customHeight="1" x14ac:dyDescent="0.3"/>
    <row r="1353" ht="13.95" customHeight="1" x14ac:dyDescent="0.3"/>
    <row r="1354" ht="13.95" customHeight="1" x14ac:dyDescent="0.3"/>
    <row r="1355" ht="13.95" customHeight="1" x14ac:dyDescent="0.3"/>
    <row r="1356" ht="13.95" customHeight="1" x14ac:dyDescent="0.3"/>
    <row r="1357" ht="13.95" customHeight="1" x14ac:dyDescent="0.3"/>
    <row r="1358" ht="13.95" customHeight="1" x14ac:dyDescent="0.3"/>
    <row r="1359" ht="13.95" customHeight="1" x14ac:dyDescent="0.3"/>
    <row r="1360" ht="13.95" customHeight="1" x14ac:dyDescent="0.3"/>
    <row r="1361" ht="13.95" customHeight="1" x14ac:dyDescent="0.3"/>
    <row r="1362" ht="13.95" customHeight="1" x14ac:dyDescent="0.3"/>
    <row r="1363" ht="13.95" customHeight="1" x14ac:dyDescent="0.3"/>
    <row r="1364" ht="13.95" customHeight="1" x14ac:dyDescent="0.3"/>
    <row r="1365" ht="13.95" customHeight="1" x14ac:dyDescent="0.3"/>
    <row r="1366" ht="13.95" customHeight="1" x14ac:dyDescent="0.3"/>
    <row r="1367" ht="13.95" customHeight="1" x14ac:dyDescent="0.3"/>
    <row r="1368" ht="13.95" customHeight="1" x14ac:dyDescent="0.3"/>
    <row r="1369" ht="13.95" customHeight="1" x14ac:dyDescent="0.3"/>
    <row r="1370" ht="13.95" customHeight="1" x14ac:dyDescent="0.3"/>
    <row r="1371" ht="13.95" customHeight="1" x14ac:dyDescent="0.3"/>
    <row r="1372" ht="13.95" customHeight="1" x14ac:dyDescent="0.3"/>
    <row r="1373" ht="13.95" customHeight="1" x14ac:dyDescent="0.3"/>
    <row r="1374" ht="13.95" customHeight="1" x14ac:dyDescent="0.3"/>
    <row r="1375" ht="13.95" customHeight="1" x14ac:dyDescent="0.3"/>
    <row r="1376" ht="13.95" customHeight="1" x14ac:dyDescent="0.3"/>
    <row r="1377" ht="13.95" customHeight="1" x14ac:dyDescent="0.3"/>
    <row r="1378" ht="13.95" customHeight="1" x14ac:dyDescent="0.3"/>
    <row r="1379" ht="13.95" customHeight="1" x14ac:dyDescent="0.3"/>
    <row r="1380" ht="13.95" customHeight="1" x14ac:dyDescent="0.3"/>
    <row r="1381" ht="13.95" customHeight="1" x14ac:dyDescent="0.3"/>
    <row r="1382" ht="13.95" customHeight="1" x14ac:dyDescent="0.3"/>
    <row r="1383" ht="13.95" customHeight="1" x14ac:dyDescent="0.3"/>
    <row r="1384" ht="13.95" customHeight="1" x14ac:dyDescent="0.3"/>
    <row r="1385" ht="13.95" customHeight="1" x14ac:dyDescent="0.3"/>
    <row r="1386" ht="13.95" customHeight="1" x14ac:dyDescent="0.3"/>
    <row r="1387" ht="13.95" customHeight="1" x14ac:dyDescent="0.3"/>
    <row r="1388" ht="13.95" customHeight="1" x14ac:dyDescent="0.3"/>
    <row r="1389" ht="13.95" customHeight="1" x14ac:dyDescent="0.3"/>
    <row r="1390" ht="13.95" customHeight="1" x14ac:dyDescent="0.3"/>
    <row r="1391" ht="13.95" customHeight="1" x14ac:dyDescent="0.3"/>
    <row r="1392" ht="13.95" customHeight="1" x14ac:dyDescent="0.3"/>
    <row r="1393" ht="13.95" customHeight="1" x14ac:dyDescent="0.3"/>
    <row r="1394" ht="13.95" customHeight="1" x14ac:dyDescent="0.3"/>
    <row r="1395" ht="13.95" customHeight="1" x14ac:dyDescent="0.3"/>
    <row r="1396" ht="13.95" customHeight="1" x14ac:dyDescent="0.3"/>
    <row r="1397" ht="13.95" customHeight="1" x14ac:dyDescent="0.3"/>
    <row r="1398" ht="13.95" customHeight="1" x14ac:dyDescent="0.3"/>
    <row r="1399" ht="13.95" customHeight="1" x14ac:dyDescent="0.3"/>
    <row r="1400" ht="13.95" customHeight="1" x14ac:dyDescent="0.3"/>
    <row r="1401" ht="13.95" customHeight="1" x14ac:dyDescent="0.3"/>
    <row r="1402" ht="13.95" customHeight="1" x14ac:dyDescent="0.3"/>
    <row r="1403" ht="13.95" customHeight="1" x14ac:dyDescent="0.3"/>
    <row r="1404" ht="13.95" customHeight="1" x14ac:dyDescent="0.3"/>
    <row r="1405" ht="13.95" customHeight="1" x14ac:dyDescent="0.3"/>
    <row r="1406" ht="13.95" customHeight="1" x14ac:dyDescent="0.3"/>
    <row r="1407" ht="13.95" customHeight="1" x14ac:dyDescent="0.3"/>
    <row r="1408" ht="13.95" customHeight="1" x14ac:dyDescent="0.3"/>
    <row r="1409" ht="13.95" customHeight="1" x14ac:dyDescent="0.3"/>
    <row r="1410" ht="13.95" customHeight="1" x14ac:dyDescent="0.3"/>
    <row r="1411" ht="13.95" customHeight="1" x14ac:dyDescent="0.3"/>
    <row r="1412" ht="13.95" customHeight="1" x14ac:dyDescent="0.3"/>
    <row r="1413" ht="13.95" customHeight="1" x14ac:dyDescent="0.3"/>
    <row r="1414" ht="13.95" customHeight="1" x14ac:dyDescent="0.3"/>
    <row r="1415" ht="13.95" customHeight="1" x14ac:dyDescent="0.3"/>
    <row r="1416" ht="13.95" customHeight="1" x14ac:dyDescent="0.3"/>
    <row r="1417" ht="13.95" customHeight="1" x14ac:dyDescent="0.3"/>
    <row r="1418" ht="13.95" customHeight="1" x14ac:dyDescent="0.3"/>
    <row r="1419" ht="13.95" customHeight="1" x14ac:dyDescent="0.3"/>
    <row r="1420" ht="13.95" customHeight="1" x14ac:dyDescent="0.3"/>
    <row r="1421" ht="13.95" customHeight="1" x14ac:dyDescent="0.3"/>
    <row r="1422" ht="13.95" customHeight="1" x14ac:dyDescent="0.3"/>
    <row r="1423" ht="13.95" customHeight="1" x14ac:dyDescent="0.3"/>
    <row r="1424" ht="13.95" customHeight="1" x14ac:dyDescent="0.3"/>
    <row r="1425" ht="13.95" customHeight="1" x14ac:dyDescent="0.3"/>
    <row r="1426" ht="13.95" customHeight="1" x14ac:dyDescent="0.3"/>
    <row r="1427" ht="13.95" customHeight="1" x14ac:dyDescent="0.3"/>
    <row r="1428" ht="13.95" customHeight="1" x14ac:dyDescent="0.3"/>
    <row r="1429" ht="13.95" customHeight="1" x14ac:dyDescent="0.3"/>
    <row r="1430" ht="13.95" customHeight="1" x14ac:dyDescent="0.3"/>
    <row r="1431" ht="13.95" customHeight="1" x14ac:dyDescent="0.3"/>
    <row r="1432" ht="13.95" customHeight="1" x14ac:dyDescent="0.3"/>
    <row r="1433" ht="13.95" customHeight="1" x14ac:dyDescent="0.3"/>
    <row r="1434" ht="13.95" customHeight="1" x14ac:dyDescent="0.3"/>
    <row r="1435" ht="13.95" customHeight="1" x14ac:dyDescent="0.3"/>
    <row r="1436" ht="13.95" customHeight="1" x14ac:dyDescent="0.3"/>
    <row r="1437" ht="13.95" customHeight="1" x14ac:dyDescent="0.3"/>
    <row r="1438" ht="13.95" customHeight="1" x14ac:dyDescent="0.3"/>
    <row r="1439" ht="13.95" customHeight="1" x14ac:dyDescent="0.3"/>
    <row r="1440" ht="13.95" customHeight="1" x14ac:dyDescent="0.3"/>
    <row r="1441" ht="13.95" customHeight="1" x14ac:dyDescent="0.3"/>
    <row r="1442" ht="13.95" customHeight="1" x14ac:dyDescent="0.3"/>
    <row r="1443" ht="13.95" customHeight="1" x14ac:dyDescent="0.3"/>
    <row r="1444" ht="13.95" customHeight="1" x14ac:dyDescent="0.3"/>
    <row r="1445" ht="13.95" customHeight="1" x14ac:dyDescent="0.3"/>
    <row r="1446" ht="13.95" customHeight="1" x14ac:dyDescent="0.3"/>
    <row r="1447" ht="13.95" customHeight="1" x14ac:dyDescent="0.3"/>
    <row r="1448" ht="13.95" customHeight="1" x14ac:dyDescent="0.3"/>
    <row r="1449" ht="13.95" customHeight="1" x14ac:dyDescent="0.3"/>
    <row r="1450" ht="13.95" customHeight="1" x14ac:dyDescent="0.3"/>
    <row r="1451" ht="13.95" customHeight="1" x14ac:dyDescent="0.3"/>
    <row r="1452" ht="13.95" customHeight="1" x14ac:dyDescent="0.3"/>
    <row r="1453" ht="13.95" customHeight="1" x14ac:dyDescent="0.3"/>
    <row r="1454" ht="13.95" customHeight="1" x14ac:dyDescent="0.3"/>
    <row r="1455" ht="13.95" customHeight="1" x14ac:dyDescent="0.3"/>
    <row r="1456" ht="13.95" customHeight="1" x14ac:dyDescent="0.3"/>
    <row r="1457" ht="13.95" customHeight="1" x14ac:dyDescent="0.3"/>
    <row r="1458" ht="13.95" customHeight="1" x14ac:dyDescent="0.3"/>
    <row r="1459" ht="13.95" customHeight="1" x14ac:dyDescent="0.3"/>
    <row r="1460" ht="13.95" customHeight="1" x14ac:dyDescent="0.3"/>
    <row r="1461" ht="13.95" customHeight="1" x14ac:dyDescent="0.3"/>
    <row r="1462" ht="13.95" customHeight="1" x14ac:dyDescent="0.3"/>
    <row r="1463" ht="13.95" customHeight="1" x14ac:dyDescent="0.3"/>
    <row r="1464" ht="13.95" customHeight="1" x14ac:dyDescent="0.3"/>
    <row r="1465" ht="13.95" customHeight="1" x14ac:dyDescent="0.3"/>
    <row r="1466" ht="13.95" customHeight="1" x14ac:dyDescent="0.3"/>
    <row r="1467" ht="13.95" customHeight="1" x14ac:dyDescent="0.3"/>
    <row r="1468" ht="13.95" customHeight="1" x14ac:dyDescent="0.3"/>
    <row r="1469" ht="13.95" customHeight="1" x14ac:dyDescent="0.3"/>
    <row r="1470" ht="13.95" customHeight="1" x14ac:dyDescent="0.3"/>
    <row r="1471" ht="13.95" customHeight="1" x14ac:dyDescent="0.3"/>
    <row r="1472" ht="13.95" customHeight="1" x14ac:dyDescent="0.3"/>
    <row r="1473" ht="13.95" customHeight="1" x14ac:dyDescent="0.3"/>
    <row r="1474" ht="13.95" customHeight="1" x14ac:dyDescent="0.3"/>
    <row r="1475" ht="13.95" customHeight="1" x14ac:dyDescent="0.3"/>
    <row r="1476" ht="13.95" customHeight="1" x14ac:dyDescent="0.3"/>
    <row r="1477" ht="13.95" customHeight="1" x14ac:dyDescent="0.3"/>
    <row r="1478" ht="13.95" customHeight="1" x14ac:dyDescent="0.3"/>
    <row r="1479" ht="13.95" customHeight="1" x14ac:dyDescent="0.3"/>
    <row r="1480" ht="13.95" customHeight="1" x14ac:dyDescent="0.3"/>
    <row r="1481" ht="13.95" customHeight="1" x14ac:dyDescent="0.3"/>
    <row r="1482" ht="13.95" customHeight="1" x14ac:dyDescent="0.3"/>
    <row r="1483" ht="13.95" customHeight="1" x14ac:dyDescent="0.3"/>
    <row r="1484" ht="13.95" customHeight="1" x14ac:dyDescent="0.3"/>
    <row r="1485" ht="13.95" customHeight="1" x14ac:dyDescent="0.3"/>
    <row r="1486" ht="13.95" customHeight="1" x14ac:dyDescent="0.3"/>
    <row r="1487" ht="13.95" customHeight="1" x14ac:dyDescent="0.3"/>
    <row r="1488" ht="13.95" customHeight="1" x14ac:dyDescent="0.3"/>
    <row r="1489" ht="13.95" customHeight="1" x14ac:dyDescent="0.3"/>
    <row r="1490" ht="13.95" customHeight="1" x14ac:dyDescent="0.3"/>
    <row r="1491" ht="13.95" customHeight="1" x14ac:dyDescent="0.3"/>
    <row r="1492" ht="13.95" customHeight="1" x14ac:dyDescent="0.3"/>
    <row r="1493" ht="13.95" customHeight="1" x14ac:dyDescent="0.3"/>
    <row r="1494" ht="13.95" customHeight="1" x14ac:dyDescent="0.3"/>
    <row r="1495" ht="13.95" customHeight="1" x14ac:dyDescent="0.3"/>
    <row r="1496" ht="13.95" customHeight="1" x14ac:dyDescent="0.3"/>
    <row r="1497" ht="13.95" customHeight="1" x14ac:dyDescent="0.3"/>
    <row r="1498" ht="13.95" customHeight="1" x14ac:dyDescent="0.3"/>
    <row r="1499" ht="13.95" customHeight="1" x14ac:dyDescent="0.3"/>
    <row r="1500" ht="13.95" customHeight="1" x14ac:dyDescent="0.3"/>
    <row r="1501" ht="13.95" customHeight="1" x14ac:dyDescent="0.3"/>
    <row r="1502" ht="13.95" customHeight="1" x14ac:dyDescent="0.3"/>
    <row r="1503" ht="13.95" customHeight="1" x14ac:dyDescent="0.3"/>
    <row r="1504" ht="13.95" customHeight="1" x14ac:dyDescent="0.3"/>
    <row r="1505" ht="13.95" customHeight="1" x14ac:dyDescent="0.3"/>
    <row r="1506" ht="13.95" customHeight="1" x14ac:dyDescent="0.3"/>
    <row r="1507" ht="13.95" customHeight="1" x14ac:dyDescent="0.3"/>
    <row r="1508" ht="13.95" customHeight="1" x14ac:dyDescent="0.3"/>
    <row r="1509" ht="13.95" customHeight="1" x14ac:dyDescent="0.3"/>
    <row r="1510" ht="13.95" customHeight="1" x14ac:dyDescent="0.3"/>
    <row r="1511" ht="13.95" customHeight="1" x14ac:dyDescent="0.3"/>
    <row r="1512" ht="13.95" customHeight="1" x14ac:dyDescent="0.3"/>
    <row r="1513" ht="13.95" customHeight="1" x14ac:dyDescent="0.3"/>
    <row r="1514" ht="13.95" customHeight="1" x14ac:dyDescent="0.3"/>
    <row r="1515" ht="13.95" customHeight="1" x14ac:dyDescent="0.3"/>
    <row r="1516" ht="13.95" customHeight="1" x14ac:dyDescent="0.3"/>
    <row r="1517" ht="13.95" customHeight="1" x14ac:dyDescent="0.3"/>
    <row r="1518" ht="13.95" customHeight="1" x14ac:dyDescent="0.3"/>
    <row r="1519" ht="13.95" customHeight="1" x14ac:dyDescent="0.3"/>
    <row r="1520" ht="13.95" customHeight="1" x14ac:dyDescent="0.3"/>
    <row r="1521" ht="13.95" customHeight="1" x14ac:dyDescent="0.3"/>
    <row r="1522" ht="13.95" customHeight="1" x14ac:dyDescent="0.3"/>
    <row r="1523" ht="13.95" customHeight="1" x14ac:dyDescent="0.3"/>
    <row r="1524" ht="13.95" customHeight="1" x14ac:dyDescent="0.3"/>
    <row r="1525" ht="13.95" customHeight="1" x14ac:dyDescent="0.3"/>
    <row r="1526" ht="13.95" customHeight="1" x14ac:dyDescent="0.3"/>
    <row r="1527" ht="13.95" customHeight="1" x14ac:dyDescent="0.3"/>
    <row r="1528" ht="13.95" customHeight="1" x14ac:dyDescent="0.3"/>
    <row r="1529" ht="13.95" customHeight="1" x14ac:dyDescent="0.3"/>
    <row r="1530" ht="13.95" customHeight="1" x14ac:dyDescent="0.3"/>
    <row r="1531" ht="13.95" customHeight="1" x14ac:dyDescent="0.3"/>
    <row r="1532" ht="13.95" customHeight="1" x14ac:dyDescent="0.3"/>
    <row r="1533" ht="13.95" customHeight="1" x14ac:dyDescent="0.3"/>
    <row r="1534" ht="13.95" customHeight="1" x14ac:dyDescent="0.3"/>
    <row r="1535" ht="13.95" customHeight="1" x14ac:dyDescent="0.3"/>
    <row r="1536" ht="13.95" customHeight="1" x14ac:dyDescent="0.3"/>
    <row r="1537" ht="13.95" customHeight="1" x14ac:dyDescent="0.3"/>
    <row r="1538" ht="13.95" customHeight="1" x14ac:dyDescent="0.3"/>
    <row r="1539" ht="13.95" customHeight="1" x14ac:dyDescent="0.3"/>
    <row r="1540" ht="13.95" customHeight="1" x14ac:dyDescent="0.3"/>
    <row r="1541" ht="13.95" customHeight="1" x14ac:dyDescent="0.3"/>
    <row r="1542" ht="13.95" customHeight="1" x14ac:dyDescent="0.3"/>
    <row r="1543" ht="13.95" customHeight="1" x14ac:dyDescent="0.3"/>
    <row r="1544" ht="13.95" customHeight="1" x14ac:dyDescent="0.3"/>
    <row r="1545" ht="13.95" customHeight="1" x14ac:dyDescent="0.3"/>
    <row r="1546" ht="13.95" customHeight="1" x14ac:dyDescent="0.3"/>
    <row r="1547" ht="13.95" customHeight="1" x14ac:dyDescent="0.3"/>
    <row r="1548" ht="13.95" customHeight="1" x14ac:dyDescent="0.3"/>
    <row r="1549" ht="13.95" customHeight="1" x14ac:dyDescent="0.3"/>
    <row r="1550" ht="13.95" customHeight="1" x14ac:dyDescent="0.3"/>
    <row r="1551" ht="13.95" customHeight="1" x14ac:dyDescent="0.3"/>
    <row r="1552" ht="13.95" customHeight="1" x14ac:dyDescent="0.3"/>
    <row r="1553" ht="13.95" customHeight="1" x14ac:dyDescent="0.3"/>
    <row r="1554" ht="13.95" customHeight="1" x14ac:dyDescent="0.3"/>
    <row r="1555" ht="13.95" customHeight="1" x14ac:dyDescent="0.3"/>
    <row r="1556" ht="13.95" customHeight="1" x14ac:dyDescent="0.3"/>
    <row r="1557" ht="13.95" customHeight="1" x14ac:dyDescent="0.3"/>
    <row r="1558" ht="13.95" customHeight="1" x14ac:dyDescent="0.3"/>
    <row r="1559" ht="13.95" customHeight="1" x14ac:dyDescent="0.3"/>
    <row r="1560" ht="13.95" customHeight="1" x14ac:dyDescent="0.3"/>
    <row r="1561" ht="13.95" customHeight="1" x14ac:dyDescent="0.3"/>
    <row r="1562" ht="13.95" customHeight="1" x14ac:dyDescent="0.3"/>
    <row r="1563" ht="13.95" customHeight="1" x14ac:dyDescent="0.3"/>
    <row r="1564" ht="13.95" customHeight="1" x14ac:dyDescent="0.3"/>
    <row r="1565" ht="13.95" customHeight="1" x14ac:dyDescent="0.3"/>
    <row r="1566" ht="13.95" customHeight="1" x14ac:dyDescent="0.3"/>
    <row r="1567" ht="13.95" customHeight="1" x14ac:dyDescent="0.3"/>
    <row r="1568" ht="13.95" customHeight="1" x14ac:dyDescent="0.3"/>
    <row r="1569" ht="13.95" customHeight="1" x14ac:dyDescent="0.3"/>
    <row r="1570" ht="13.95" customHeight="1" x14ac:dyDescent="0.3"/>
    <row r="1571" ht="13.95" customHeight="1" x14ac:dyDescent="0.3"/>
    <row r="1572" ht="13.95" customHeight="1" x14ac:dyDescent="0.3"/>
    <row r="1573" ht="13.95" customHeight="1" x14ac:dyDescent="0.3"/>
    <row r="1574" ht="13.95" customHeight="1" x14ac:dyDescent="0.3"/>
    <row r="1575" ht="13.95" customHeight="1" x14ac:dyDescent="0.3"/>
    <row r="1576" ht="13.95" customHeight="1" x14ac:dyDescent="0.3"/>
    <row r="1577" ht="13.95" customHeight="1" x14ac:dyDescent="0.3"/>
    <row r="1578" ht="13.95" customHeight="1" x14ac:dyDescent="0.3"/>
    <row r="1579" ht="13.95" customHeight="1" x14ac:dyDescent="0.3"/>
    <row r="1580" ht="13.95" customHeight="1" x14ac:dyDescent="0.3"/>
    <row r="1581" ht="13.95" customHeight="1" x14ac:dyDescent="0.3"/>
    <row r="1582" ht="13.95" customHeight="1" x14ac:dyDescent="0.3"/>
    <row r="1583" ht="13.95" customHeight="1" x14ac:dyDescent="0.3"/>
    <row r="1584" ht="13.95" customHeight="1" x14ac:dyDescent="0.3"/>
    <row r="1585" ht="13.95" customHeight="1" x14ac:dyDescent="0.3"/>
    <row r="1586" ht="13.95" customHeight="1" x14ac:dyDescent="0.3"/>
    <row r="1587" ht="13.95" customHeight="1" x14ac:dyDescent="0.3"/>
    <row r="1588" ht="13.95" customHeight="1" x14ac:dyDescent="0.3"/>
    <row r="1589" ht="13.95" customHeight="1" x14ac:dyDescent="0.3"/>
    <row r="1590" ht="13.95" customHeight="1" x14ac:dyDescent="0.3"/>
    <row r="1591" ht="13.95" customHeight="1" x14ac:dyDescent="0.3"/>
    <row r="1592" ht="13.95" customHeight="1" x14ac:dyDescent="0.3"/>
    <row r="1593" ht="13.95" customHeight="1" x14ac:dyDescent="0.3"/>
    <row r="1594" ht="13.95" customHeight="1" x14ac:dyDescent="0.3"/>
    <row r="1595" ht="13.95" customHeight="1" x14ac:dyDescent="0.3"/>
    <row r="1596" ht="13.95" customHeight="1" x14ac:dyDescent="0.3"/>
    <row r="1597" ht="13.95" customHeight="1" x14ac:dyDescent="0.3"/>
    <row r="1598" ht="13.95" customHeight="1" x14ac:dyDescent="0.3"/>
    <row r="1599" ht="13.95" customHeight="1" x14ac:dyDescent="0.3"/>
    <row r="1600" ht="13.95" customHeight="1" x14ac:dyDescent="0.3"/>
    <row r="1601" ht="13.95" customHeight="1" x14ac:dyDescent="0.3"/>
    <row r="1602" ht="13.95" customHeight="1" x14ac:dyDescent="0.3"/>
    <row r="1603" ht="13.95" customHeight="1" x14ac:dyDescent="0.3"/>
    <row r="1604" ht="13.95" customHeight="1" x14ac:dyDescent="0.3"/>
    <row r="1605" ht="13.95" customHeight="1" x14ac:dyDescent="0.3"/>
    <row r="1606" ht="13.95" customHeight="1" x14ac:dyDescent="0.3"/>
    <row r="1607" ht="13.95" customHeight="1" x14ac:dyDescent="0.3"/>
    <row r="1608" ht="13.95" customHeight="1" x14ac:dyDescent="0.3"/>
    <row r="1609" ht="13.95" customHeight="1" x14ac:dyDescent="0.3"/>
    <row r="1610" ht="13.95" customHeight="1" x14ac:dyDescent="0.3"/>
    <row r="1611" ht="13.95" customHeight="1" x14ac:dyDescent="0.3"/>
    <row r="1612" ht="13.95" customHeight="1" x14ac:dyDescent="0.3"/>
    <row r="1613" ht="13.95" customHeight="1" x14ac:dyDescent="0.3"/>
    <row r="1614" ht="13.95" customHeight="1" x14ac:dyDescent="0.3"/>
    <row r="1615" ht="13.95" customHeight="1" x14ac:dyDescent="0.3"/>
    <row r="1616" ht="13.95" customHeight="1" x14ac:dyDescent="0.3"/>
    <row r="1617" ht="13.95" customHeight="1" x14ac:dyDescent="0.3"/>
    <row r="1618" ht="13.95" customHeight="1" x14ac:dyDescent="0.3"/>
    <row r="1619" ht="13.95" customHeight="1" x14ac:dyDescent="0.3"/>
    <row r="1620" ht="13.95" customHeight="1" x14ac:dyDescent="0.3"/>
    <row r="1621" ht="13.95" customHeight="1" x14ac:dyDescent="0.3"/>
    <row r="1622" ht="13.95" customHeight="1" x14ac:dyDescent="0.3"/>
    <row r="1623" ht="13.95" customHeight="1" x14ac:dyDescent="0.3"/>
    <row r="1624" ht="13.95" customHeight="1" x14ac:dyDescent="0.3"/>
    <row r="1625" ht="13.95" customHeight="1" x14ac:dyDescent="0.3"/>
    <row r="1626" ht="13.95" customHeight="1" x14ac:dyDescent="0.3"/>
    <row r="1627" ht="13.95" customHeight="1" x14ac:dyDescent="0.3"/>
    <row r="1628" ht="13.95" customHeight="1" x14ac:dyDescent="0.3"/>
    <row r="1629" ht="13.95" customHeight="1" x14ac:dyDescent="0.3"/>
    <row r="1630" ht="13.95" customHeight="1" x14ac:dyDescent="0.3"/>
    <row r="1631" ht="13.95" customHeight="1" x14ac:dyDescent="0.3"/>
    <row r="1632" ht="13.95" customHeight="1" x14ac:dyDescent="0.3"/>
    <row r="1633" ht="13.95" customHeight="1" x14ac:dyDescent="0.3"/>
    <row r="1634" ht="13.95" customHeight="1" x14ac:dyDescent="0.3"/>
    <row r="1635" ht="13.95" customHeight="1" x14ac:dyDescent="0.3"/>
    <row r="1636" ht="13.95" customHeight="1" x14ac:dyDescent="0.3"/>
    <row r="1637" ht="13.95" customHeight="1" x14ac:dyDescent="0.3"/>
    <row r="1638" ht="13.95" customHeight="1" x14ac:dyDescent="0.3"/>
    <row r="1639" ht="13.95" customHeight="1" x14ac:dyDescent="0.3"/>
    <row r="1640" ht="13.95" customHeight="1" x14ac:dyDescent="0.3"/>
    <row r="1641" ht="13.95" customHeight="1" x14ac:dyDescent="0.3"/>
    <row r="1642" ht="13.95" customHeight="1" x14ac:dyDescent="0.3"/>
    <row r="1643" ht="13.95" customHeight="1" x14ac:dyDescent="0.3"/>
    <row r="1644" ht="13.95" customHeight="1" x14ac:dyDescent="0.3"/>
    <row r="1645" ht="13.95" customHeight="1" x14ac:dyDescent="0.3"/>
    <row r="1646" ht="13.95" customHeight="1" x14ac:dyDescent="0.3"/>
    <row r="1647" ht="13.95" customHeight="1" x14ac:dyDescent="0.3"/>
    <row r="1648" ht="13.95" customHeight="1" x14ac:dyDescent="0.3"/>
    <row r="1649" ht="13.95" customHeight="1" x14ac:dyDescent="0.3"/>
    <row r="1650" ht="13.95" customHeight="1" x14ac:dyDescent="0.3"/>
    <row r="1651" ht="13.95" customHeight="1" x14ac:dyDescent="0.3"/>
    <row r="1652" ht="13.95" customHeight="1" x14ac:dyDescent="0.3"/>
    <row r="1653" ht="13.95" customHeight="1" x14ac:dyDescent="0.3"/>
    <row r="1654" ht="13.95" customHeight="1" x14ac:dyDescent="0.3"/>
    <row r="1655" ht="13.95" customHeight="1" x14ac:dyDescent="0.3"/>
    <row r="1656" ht="13.95" customHeight="1" x14ac:dyDescent="0.3"/>
    <row r="1657" ht="13.95" customHeight="1" x14ac:dyDescent="0.3"/>
    <row r="1658" ht="13.95" customHeight="1" x14ac:dyDescent="0.3"/>
    <row r="1659" ht="13.95" customHeight="1" x14ac:dyDescent="0.3"/>
    <row r="1660" ht="13.95" customHeight="1" x14ac:dyDescent="0.3"/>
    <row r="1661" ht="13.95" customHeight="1" x14ac:dyDescent="0.3"/>
    <row r="1662" ht="13.95" customHeight="1" x14ac:dyDescent="0.3"/>
    <row r="1663" ht="13.95" customHeight="1" x14ac:dyDescent="0.3"/>
    <row r="1664" ht="13.95" customHeight="1" x14ac:dyDescent="0.3"/>
    <row r="1665" ht="13.95" customHeight="1" x14ac:dyDescent="0.3"/>
    <row r="1666" ht="13.95" customHeight="1" x14ac:dyDescent="0.3"/>
    <row r="1667" ht="13.95" customHeight="1" x14ac:dyDescent="0.3"/>
    <row r="1668" ht="13.95" customHeight="1" x14ac:dyDescent="0.3"/>
    <row r="1669" ht="13.95" customHeight="1" x14ac:dyDescent="0.3"/>
    <row r="1670" ht="13.95" customHeight="1" x14ac:dyDescent="0.3"/>
    <row r="1671" ht="13.95" customHeight="1" x14ac:dyDescent="0.3"/>
    <row r="1672" ht="13.95" customHeight="1" x14ac:dyDescent="0.3"/>
    <row r="1673" ht="13.95" customHeight="1" x14ac:dyDescent="0.3"/>
    <row r="1674" ht="13.95" customHeight="1" x14ac:dyDescent="0.3"/>
    <row r="1675" ht="13.95" customHeight="1" x14ac:dyDescent="0.3"/>
    <row r="1676" ht="13.95" customHeight="1" x14ac:dyDescent="0.3"/>
    <row r="1677" ht="13.95" customHeight="1" x14ac:dyDescent="0.3"/>
    <row r="1678" ht="13.95" customHeight="1" x14ac:dyDescent="0.3"/>
    <row r="1679" ht="13.95" customHeight="1" x14ac:dyDescent="0.3"/>
    <row r="1680" ht="13.95" customHeight="1" x14ac:dyDescent="0.3"/>
    <row r="1681" ht="13.95" customHeight="1" x14ac:dyDescent="0.3"/>
    <row r="1682" ht="13.95" customHeight="1" x14ac:dyDescent="0.3"/>
    <row r="1683" ht="13.95" customHeight="1" x14ac:dyDescent="0.3"/>
    <row r="1684" ht="13.95" customHeight="1" x14ac:dyDescent="0.3"/>
    <row r="1685" ht="13.95" customHeight="1" x14ac:dyDescent="0.3"/>
    <row r="1686" ht="13.95" customHeight="1" x14ac:dyDescent="0.3"/>
    <row r="1687" ht="13.95" customHeight="1" x14ac:dyDescent="0.3"/>
    <row r="1688" ht="13.95" customHeight="1" x14ac:dyDescent="0.3"/>
    <row r="1689" ht="13.95" customHeight="1" x14ac:dyDescent="0.3"/>
    <row r="1690" ht="13.95" customHeight="1" x14ac:dyDescent="0.3"/>
    <row r="1691" ht="13.95" customHeight="1" x14ac:dyDescent="0.3"/>
    <row r="1692" ht="13.95" customHeight="1" x14ac:dyDescent="0.3"/>
    <row r="1693" ht="13.95" customHeight="1" x14ac:dyDescent="0.3"/>
    <row r="1694" ht="13.95" customHeight="1" x14ac:dyDescent="0.3"/>
    <row r="1695" ht="13.95" customHeight="1" x14ac:dyDescent="0.3"/>
    <row r="1696" ht="13.95" customHeight="1" x14ac:dyDescent="0.3"/>
    <row r="1697" ht="13.95" customHeight="1" x14ac:dyDescent="0.3"/>
    <row r="1698" ht="13.95" customHeight="1" x14ac:dyDescent="0.3"/>
    <row r="1699" ht="13.95" customHeight="1" x14ac:dyDescent="0.3"/>
    <row r="1700" ht="13.95" customHeight="1" x14ac:dyDescent="0.3"/>
    <row r="1701" ht="13.95" customHeight="1" x14ac:dyDescent="0.3"/>
    <row r="1702" ht="13.95" customHeight="1" x14ac:dyDescent="0.3"/>
    <row r="1703" ht="13.95" customHeight="1" x14ac:dyDescent="0.3"/>
    <row r="1704" ht="13.95" customHeight="1" x14ac:dyDescent="0.3"/>
    <row r="1705" ht="13.95" customHeight="1" x14ac:dyDescent="0.3"/>
    <row r="1706" ht="13.95" customHeight="1" x14ac:dyDescent="0.3"/>
    <row r="1707" ht="13.95" customHeight="1" x14ac:dyDescent="0.3"/>
    <row r="1708" ht="13.95" customHeight="1" x14ac:dyDescent="0.3"/>
    <row r="1709" ht="13.95" customHeight="1" x14ac:dyDescent="0.3"/>
    <row r="1710" ht="13.95" customHeight="1" x14ac:dyDescent="0.3"/>
    <row r="1711" ht="13.95" customHeight="1" x14ac:dyDescent="0.3"/>
    <row r="1712" ht="13.95" customHeight="1" x14ac:dyDescent="0.3"/>
    <row r="1713" ht="13.95" customHeight="1" x14ac:dyDescent="0.3"/>
    <row r="1714" ht="13.95" customHeight="1" x14ac:dyDescent="0.3"/>
    <row r="1715" ht="13.95" customHeight="1" x14ac:dyDescent="0.3"/>
    <row r="1716" ht="13.95" customHeight="1" x14ac:dyDescent="0.3"/>
    <row r="1717" ht="13.95" customHeight="1" x14ac:dyDescent="0.3"/>
    <row r="1718" ht="13.95" customHeight="1" x14ac:dyDescent="0.3"/>
    <row r="1719" ht="13.95" customHeight="1" x14ac:dyDescent="0.3"/>
    <row r="1720" ht="13.95" customHeight="1" x14ac:dyDescent="0.3"/>
    <row r="1721" ht="13.95" customHeight="1" x14ac:dyDescent="0.3"/>
    <row r="1722" ht="13.95" customHeight="1" x14ac:dyDescent="0.3"/>
    <row r="1723" ht="13.95" customHeight="1" x14ac:dyDescent="0.3"/>
    <row r="1724" ht="13.95" customHeight="1" x14ac:dyDescent="0.3"/>
    <row r="1725" ht="13.95" customHeight="1" x14ac:dyDescent="0.3"/>
    <row r="1726" ht="13.95" customHeight="1" x14ac:dyDescent="0.3"/>
    <row r="1727" ht="13.95" customHeight="1" x14ac:dyDescent="0.3"/>
    <row r="1728" ht="13.95" customHeight="1" x14ac:dyDescent="0.3"/>
    <row r="1729" ht="13.95" customHeight="1" x14ac:dyDescent="0.3"/>
    <row r="1730" ht="13.95" customHeight="1" x14ac:dyDescent="0.3"/>
    <row r="1731" ht="13.95" customHeight="1" x14ac:dyDescent="0.3"/>
    <row r="1732" ht="13.95" customHeight="1" x14ac:dyDescent="0.3"/>
    <row r="1733" ht="13.95" customHeight="1" x14ac:dyDescent="0.3"/>
    <row r="1734" ht="13.95" customHeight="1" x14ac:dyDescent="0.3"/>
    <row r="1735" ht="13.95" customHeight="1" x14ac:dyDescent="0.3"/>
    <row r="1736" ht="13.95" customHeight="1" x14ac:dyDescent="0.3"/>
    <row r="1737" ht="13.95" customHeight="1" x14ac:dyDescent="0.3"/>
    <row r="1738" ht="13.95" customHeight="1" x14ac:dyDescent="0.3"/>
    <row r="1739" ht="13.95" customHeight="1" x14ac:dyDescent="0.3"/>
    <row r="1740" ht="13.95" customHeight="1" x14ac:dyDescent="0.3"/>
    <row r="1741" ht="13.95" customHeight="1" x14ac:dyDescent="0.3"/>
    <row r="1742" ht="13.95" customHeight="1" x14ac:dyDescent="0.3"/>
    <row r="1743" ht="13.95" customHeight="1" x14ac:dyDescent="0.3"/>
    <row r="1744" ht="13.95" customHeight="1" x14ac:dyDescent="0.3"/>
    <row r="1745" ht="13.95" customHeight="1" x14ac:dyDescent="0.3"/>
    <row r="1746" ht="13.95" customHeight="1" x14ac:dyDescent="0.3"/>
    <row r="1747" ht="13.95" customHeight="1" x14ac:dyDescent="0.3"/>
    <row r="1748" ht="13.95" customHeight="1" x14ac:dyDescent="0.3"/>
    <row r="1749" ht="13.95" customHeight="1" x14ac:dyDescent="0.3"/>
    <row r="1750" ht="13.95" customHeight="1" x14ac:dyDescent="0.3"/>
    <row r="1751" ht="13.95" customHeight="1" x14ac:dyDescent="0.3"/>
    <row r="1752" ht="13.95" customHeight="1" x14ac:dyDescent="0.3"/>
    <row r="1753" ht="13.95" customHeight="1" x14ac:dyDescent="0.3"/>
    <row r="1754" ht="13.95" customHeight="1" x14ac:dyDescent="0.3"/>
    <row r="1755" ht="13.95" customHeight="1" x14ac:dyDescent="0.3"/>
    <row r="1756" ht="13.95" customHeight="1" x14ac:dyDescent="0.3"/>
    <row r="1757" ht="13.95" customHeight="1" x14ac:dyDescent="0.3"/>
    <row r="1758" ht="13.95" customHeight="1" x14ac:dyDescent="0.3"/>
    <row r="1759" ht="13.95" customHeight="1" x14ac:dyDescent="0.3"/>
    <row r="1760" ht="13.95" customHeight="1" x14ac:dyDescent="0.3"/>
    <row r="1761" ht="13.95" customHeight="1" x14ac:dyDescent="0.3"/>
    <row r="1762" ht="13.95" customHeight="1" x14ac:dyDescent="0.3"/>
    <row r="1763" ht="13.95" customHeight="1" x14ac:dyDescent="0.3"/>
    <row r="1764" ht="13.95" customHeight="1" x14ac:dyDescent="0.3"/>
    <row r="1765" ht="13.95" customHeight="1" x14ac:dyDescent="0.3"/>
    <row r="1766" ht="13.95" customHeight="1" x14ac:dyDescent="0.3"/>
    <row r="1767" ht="13.95" customHeight="1" x14ac:dyDescent="0.3"/>
    <row r="1768" ht="13.95" customHeight="1" x14ac:dyDescent="0.3"/>
    <row r="1769" ht="13.95" customHeight="1" x14ac:dyDescent="0.3"/>
    <row r="1770" ht="13.95" customHeight="1" x14ac:dyDescent="0.3"/>
    <row r="1771" ht="13.95" customHeight="1" x14ac:dyDescent="0.3"/>
    <row r="1772" ht="13.95" customHeight="1" x14ac:dyDescent="0.3"/>
    <row r="1773" ht="13.95" customHeight="1" x14ac:dyDescent="0.3"/>
    <row r="1774" ht="13.95" customHeight="1" x14ac:dyDescent="0.3"/>
    <row r="1775" ht="13.95" customHeight="1" x14ac:dyDescent="0.3"/>
    <row r="1776" ht="13.95" customHeight="1" x14ac:dyDescent="0.3"/>
    <row r="1777" ht="13.95" customHeight="1" x14ac:dyDescent="0.3"/>
    <row r="1778" ht="13.95" customHeight="1" x14ac:dyDescent="0.3"/>
    <row r="1779" ht="13.95" customHeight="1" x14ac:dyDescent="0.3"/>
    <row r="1780" ht="13.95" customHeight="1" x14ac:dyDescent="0.3"/>
    <row r="1781" ht="13.95" customHeight="1" x14ac:dyDescent="0.3"/>
    <row r="1782" ht="13.95" customHeight="1" x14ac:dyDescent="0.3"/>
    <row r="1783" ht="13.95" customHeight="1" x14ac:dyDescent="0.3"/>
    <row r="1784" ht="13.95" customHeight="1" x14ac:dyDescent="0.3"/>
    <row r="1785" ht="13.95" customHeight="1" x14ac:dyDescent="0.3"/>
    <row r="1786" ht="13.95" customHeight="1" x14ac:dyDescent="0.3"/>
    <row r="1787" ht="13.95" customHeight="1" x14ac:dyDescent="0.3"/>
    <row r="1788" ht="13.95" customHeight="1" x14ac:dyDescent="0.3"/>
    <row r="1789" ht="13.95" customHeight="1" x14ac:dyDescent="0.3"/>
    <row r="1790" ht="13.95" customHeight="1" x14ac:dyDescent="0.3"/>
    <row r="1791" ht="13.95" customHeight="1" x14ac:dyDescent="0.3"/>
    <row r="1792" ht="13.95" customHeight="1" x14ac:dyDescent="0.3"/>
    <row r="1793" ht="13.95" customHeight="1" x14ac:dyDescent="0.3"/>
    <row r="1794" ht="13.95" customHeight="1" x14ac:dyDescent="0.3"/>
    <row r="1795" ht="13.95" customHeight="1" x14ac:dyDescent="0.3"/>
    <row r="1796" ht="13.95" customHeight="1" x14ac:dyDescent="0.3"/>
    <row r="1797" ht="13.95" customHeight="1" x14ac:dyDescent="0.3"/>
    <row r="1798" ht="13.95" customHeight="1" x14ac:dyDescent="0.3"/>
    <row r="1799" ht="13.95" customHeight="1" x14ac:dyDescent="0.3"/>
    <row r="1800" ht="13.95" customHeight="1" x14ac:dyDescent="0.3"/>
    <row r="1801" ht="13.95" customHeight="1" x14ac:dyDescent="0.3"/>
  </sheetData>
  <sheetProtection algorithmName="SHA-512" hashValue="RSIo3p6+z4RXgOr97+YhdanlOIa0ijsmi595NmN816p1s1sSTYx66lWaJX+aDDUlGoTMtRr7xL2AGAeYaLsG2w==" saltValue="/OB8Nmxz8LUzdE6lxAKqsQ=="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CD8F9-6733-49AF-93C7-1A3A2B8E043A}">
  <sheetPr codeName="Sheet9">
    <tabColor theme="9" tint="0.59999389629810485"/>
  </sheetPr>
  <dimension ref="A1:N2093"/>
  <sheetViews>
    <sheetView zoomScale="78" zoomScaleNormal="85" workbookViewId="0">
      <pane ySplit="3" topLeftCell="A77" activePane="bottomLeft" state="frozen"/>
      <selection activeCell="P393" sqref="P393"/>
      <selection pane="bottomLeft" activeCell="G110" sqref="G110"/>
    </sheetView>
  </sheetViews>
  <sheetFormatPr defaultColWidth="8.88671875" defaultRowHeight="13.95" customHeight="1" zeroHeight="1" x14ac:dyDescent="0.3"/>
  <cols>
    <col min="1" max="1" width="2.33203125" style="49" customWidth="1"/>
    <col min="2" max="2" width="2.33203125" style="53" customWidth="1"/>
    <col min="3" max="3" width="2.33203125" style="57" customWidth="1"/>
    <col min="4" max="4" width="2.33203125" customWidth="1"/>
    <col min="5" max="5" width="2.33203125" style="53" customWidth="1"/>
    <col min="6" max="6" width="67.33203125" customWidth="1"/>
    <col min="7" max="7" width="12.109375" customWidth="1"/>
  </cols>
  <sheetData>
    <row r="1" spans="1:11" s="5" customFormat="1" ht="14.4" x14ac:dyDescent="0.3">
      <c r="A1" s="4" t="s">
        <v>34</v>
      </c>
      <c r="B1" s="50"/>
      <c r="C1" s="54"/>
      <c r="E1" s="50"/>
    </row>
    <row r="2" spans="1:11" s="5" customFormat="1" ht="14.4" x14ac:dyDescent="0.3">
      <c r="A2" s="4"/>
      <c r="B2" s="50"/>
      <c r="C2" s="54"/>
      <c r="E2" s="50"/>
    </row>
    <row r="3" spans="1:11" s="5" customFormat="1" ht="14.4" x14ac:dyDescent="0.3">
      <c r="A3" s="4"/>
      <c r="B3" s="50"/>
      <c r="C3" s="54"/>
      <c r="E3" s="50"/>
      <c r="F3" s="5" t="s">
        <v>21</v>
      </c>
      <c r="G3" s="5" t="s">
        <v>22</v>
      </c>
      <c r="H3" s="5" t="s">
        <v>23</v>
      </c>
      <c r="J3" s="5" t="s">
        <v>26</v>
      </c>
      <c r="K3" s="5" t="s">
        <v>27</v>
      </c>
    </row>
    <row r="4" spans="1:11" s="9" customFormat="1" ht="14.4" x14ac:dyDescent="0.3">
      <c r="A4" s="8"/>
      <c r="B4" s="51"/>
      <c r="C4" s="55"/>
      <c r="E4" s="51"/>
    </row>
    <row r="5" spans="1:11" s="44" customFormat="1" ht="13.95" customHeight="1" x14ac:dyDescent="0.3">
      <c r="A5" s="45" t="s">
        <v>422</v>
      </c>
      <c r="B5" s="52"/>
      <c r="C5" s="56"/>
      <c r="E5" s="52"/>
    </row>
    <row r="6" spans="1:11" ht="13.95" customHeight="1" x14ac:dyDescent="0.3">
      <c r="F6" s="43"/>
    </row>
    <row r="7" spans="1:11" ht="13.95" customHeight="1" x14ac:dyDescent="0.3">
      <c r="F7" t="s">
        <v>423</v>
      </c>
      <c r="G7" s="46">
        <f xml:space="preserve"> Dashboard!B$9</f>
        <v>1</v>
      </c>
      <c r="H7" t="s">
        <v>424</v>
      </c>
    </row>
    <row r="8" spans="1:11" ht="1.95" customHeight="1" x14ac:dyDescent="0.3"/>
    <row r="9" spans="1:11" ht="13.95" customHeight="1" x14ac:dyDescent="0.3">
      <c r="F9" t="s">
        <v>425</v>
      </c>
      <c r="G9">
        <f>IF(G7=1,1,1)</f>
        <v>1</v>
      </c>
      <c r="H9" t="s">
        <v>427</v>
      </c>
    </row>
    <row r="10" spans="1:11" ht="13.95" customHeight="1" x14ac:dyDescent="0.3">
      <c r="F10" t="s">
        <v>426</v>
      </c>
      <c r="G10">
        <f>IF(G7=2,1,1)</f>
        <v>1</v>
      </c>
      <c r="H10" t="s">
        <v>427</v>
      </c>
      <c r="K10" t="s">
        <v>1047</v>
      </c>
    </row>
    <row r="11" spans="1:11" ht="13.95" customHeight="1" x14ac:dyDescent="0.3"/>
    <row r="12" spans="1:11" ht="13.95" customHeight="1" x14ac:dyDescent="0.3">
      <c r="B12" s="53" t="s">
        <v>1046</v>
      </c>
    </row>
    <row r="13" spans="1:11" ht="13.95" customHeight="1" x14ac:dyDescent="0.3">
      <c r="C13" s="57" t="s">
        <v>1048</v>
      </c>
      <c r="K13" t="s">
        <v>499</v>
      </c>
    </row>
    <row r="14" spans="1:11" ht="13.95" customHeight="1" x14ac:dyDescent="0.3">
      <c r="D14" t="s">
        <v>6</v>
      </c>
    </row>
    <row r="15" spans="1:11" ht="13.95" customHeight="1" x14ac:dyDescent="0.3">
      <c r="F15" s="46" t="str">
        <f xml:space="preserve"> Dashboard!D$3</f>
        <v>Selecteer gemeente</v>
      </c>
      <c r="G15" s="46" t="str">
        <f xml:space="preserve"> Dashboard!F$3</f>
        <v>Folderdam</v>
      </c>
    </row>
    <row r="16" spans="1:11" ht="13.95" customHeight="1" x14ac:dyDescent="0.3">
      <c r="F16" s="46" t="str">
        <f xml:space="preserve"> Dashboard!D$16</f>
        <v>Aantal woningen gemeente</v>
      </c>
      <c r="G16" s="46">
        <f xml:space="preserve"> Dashboard!J$16</f>
        <v>60000</v>
      </c>
    </row>
    <row r="17" spans="4:7" ht="13.95" customHeight="1" x14ac:dyDescent="0.3">
      <c r="D17" t="s">
        <v>8</v>
      </c>
      <c r="F17" s="46"/>
      <c r="G17" s="46"/>
    </row>
    <row r="18" spans="4:7" ht="13.95" customHeight="1" x14ac:dyDescent="0.3">
      <c r="F18" s="46" t="str">
        <f xml:space="preserve"> Dashboard!E$19</f>
        <v>Toekomstig systeem (drop down menu)</v>
      </c>
      <c r="G18" s="46" t="str">
        <f xml:space="preserve"> Dashboard!J$19</f>
        <v>Optimaliseren opt-out (Nee/Nee)</v>
      </c>
    </row>
    <row r="19" spans="4:7" ht="13.95" customHeight="1" x14ac:dyDescent="0.3">
      <c r="F19" s="46"/>
      <c r="G19" s="46"/>
    </row>
    <row r="20" spans="4:7" ht="13.95" customHeight="1" x14ac:dyDescent="0.3">
      <c r="F20" s="46" t="str">
        <f xml:space="preserve"> Dashboard!D$21</f>
        <v>% brievenbussen Nee/Nee-sticker</v>
      </c>
      <c r="G20" s="47">
        <f xml:space="preserve"> Dashboard!J$21</f>
        <v>0.15</v>
      </c>
    </row>
    <row r="21" spans="4:7" ht="13.95" customHeight="1" x14ac:dyDescent="0.3">
      <c r="F21" s="46" t="str">
        <f xml:space="preserve"> Dashboard!D$22</f>
        <v>% brievenbussen Ja/Ja-sticker</v>
      </c>
      <c r="G21" s="47">
        <f xml:space="preserve"> Dashboard!J$22</f>
        <v>0</v>
      </c>
    </row>
    <row r="22" spans="4:7" ht="13.95" customHeight="1" x14ac:dyDescent="0.3">
      <c r="F22" s="46" t="str">
        <f xml:space="preserve"> Dashboard!D$23</f>
        <v>% brievenbussen Nee/Ja-sticker</v>
      </c>
      <c r="G22" s="47">
        <f xml:space="preserve"> Dashboard!J$23</f>
        <v>0.25</v>
      </c>
    </row>
    <row r="23" spans="4:7" ht="13.95" customHeight="1" x14ac:dyDescent="0.3">
      <c r="F23" s="46" t="str">
        <f xml:space="preserve"> Dashboard!D$24</f>
        <v>% brievenbussen geen sticker</v>
      </c>
      <c r="G23" s="47">
        <f xml:space="preserve"> Dashboard!J$24</f>
        <v>0.6</v>
      </c>
    </row>
    <row r="24" spans="4:7" ht="13.95" customHeight="1" x14ac:dyDescent="0.3">
      <c r="D24" t="s">
        <v>406</v>
      </c>
      <c r="F24" s="46"/>
      <c r="G24" s="47"/>
    </row>
    <row r="25" spans="4:7" ht="13.95" customHeight="1" x14ac:dyDescent="0.3">
      <c r="F25" s="46" t="str">
        <f xml:space="preserve"> Dashboard!D$29</f>
        <v>Wekelijkse gewicht ongeadresseerde reclame, gram per adres</v>
      </c>
      <c r="G25" s="63">
        <f xml:space="preserve"> Dashboard!J$29</f>
        <v>500</v>
      </c>
    </row>
    <row r="26" spans="4:7" ht="13.95" customHeight="1" x14ac:dyDescent="0.3">
      <c r="F26" s="46" t="str">
        <f xml:space="preserve"> Dashboard!D$30</f>
        <v>Wekelijkse gewicht aan verpakking ongeadresseerde reclame, gram per adres</v>
      </c>
      <c r="G26" s="63">
        <f xml:space="preserve"> Dashboard!J$30</f>
        <v>1.5</v>
      </c>
    </row>
    <row r="27" spans="4:7" ht="13.95" customHeight="1" x14ac:dyDescent="0.3">
      <c r="F27" s="46" t="str">
        <f xml:space="preserve"> Dashboard!D$31</f>
        <v>Wekelijkse gewicht huis-aan-huisbladen, gram per adres</v>
      </c>
      <c r="G27" s="63">
        <f xml:space="preserve"> Dashboard!J$31</f>
        <v>65</v>
      </c>
    </row>
    <row r="28" spans="4:7" ht="13.95" customHeight="1" x14ac:dyDescent="0.3">
      <c r="F28" s="46" t="str">
        <f xml:space="preserve"> Dashboard!D$32</f>
        <v>Wekelijkse gewicht aan verpakking huis-aan-huisbladen, gram per adres</v>
      </c>
      <c r="G28" s="63">
        <f xml:space="preserve"> Dashboard!J$32</f>
        <v>0</v>
      </c>
    </row>
    <row r="29" spans="4:7" ht="1.95" customHeight="1" x14ac:dyDescent="0.3">
      <c r="F29" s="46"/>
      <c r="G29" s="63"/>
    </row>
    <row r="30" spans="4:7" ht="13.95" customHeight="1" x14ac:dyDescent="0.3">
      <c r="F30" s="46" t="str">
        <f xml:space="preserve"> Dashboard!D$40</f>
        <v>% van papier ongeadresseerde reclame uit gerecycled materiaal</v>
      </c>
      <c r="G30" s="47">
        <f xml:space="preserve"> Dashboard!J$40</f>
        <v>1</v>
      </c>
    </row>
    <row r="31" spans="4:7" ht="13.95" customHeight="1" x14ac:dyDescent="0.3">
      <c r="F31" s="46" t="str">
        <f xml:space="preserve"> Dashboard!D$41</f>
        <v>% van papier huis-aan-huisbladen uit gerecycled materiaal</v>
      </c>
      <c r="G31" s="47">
        <f xml:space="preserve"> Dashboard!J$41</f>
        <v>1</v>
      </c>
    </row>
    <row r="32" spans="4:7" ht="13.95" customHeight="1" x14ac:dyDescent="0.3">
      <c r="D32" t="s">
        <v>432</v>
      </c>
      <c r="F32" s="46"/>
      <c r="G32" s="106"/>
    </row>
    <row r="33" spans="3:7" ht="13.95" customHeight="1" x14ac:dyDescent="0.3">
      <c r="F33" s="46" t="str">
        <f xml:space="preserve"> Dashboard!D$36</f>
        <v>Waterbedeffect treedt op (hoeveelheid huis-aan-huis verdubbelt)</v>
      </c>
      <c r="G33" s="46">
        <f xml:space="preserve"> Dashboard!K$36</f>
        <v>1</v>
      </c>
    </row>
    <row r="34" spans="3:7" ht="13.95" customHeight="1" x14ac:dyDescent="0.3">
      <c r="F34" s="46" t="str">
        <f xml:space="preserve"> Dashboard!D$38</f>
        <v>Wekelijkse extra gewicht huis-aan-huisbladen bij waterbedeffect</v>
      </c>
      <c r="G34" s="106">
        <f xml:space="preserve"> Dashboard!J$38</f>
        <v>65</v>
      </c>
    </row>
    <row r="35" spans="3:7" ht="13.95" customHeight="1" x14ac:dyDescent="0.3">
      <c r="D35" t="s">
        <v>1585</v>
      </c>
      <c r="F35" s="46"/>
      <c r="G35" s="46"/>
    </row>
    <row r="36" spans="3:7" ht="13.95" customHeight="1" x14ac:dyDescent="0.3">
      <c r="F36" s="46" t="str">
        <f xml:space="preserve"> Dashboard!D$34</f>
        <v>Aantal huishoudens aangemeld voor geadresseerd reclamedrukwerk</v>
      </c>
      <c r="G36" s="106">
        <f xml:space="preserve"> Dashboard!J$34</f>
        <v>616</v>
      </c>
    </row>
    <row r="37" spans="3:7" ht="13.95" customHeight="1" x14ac:dyDescent="0.3">
      <c r="D37" t="s">
        <v>17</v>
      </c>
    </row>
    <row r="38" spans="3:7" ht="13.95" customHeight="1" x14ac:dyDescent="0.3">
      <c r="F38" s="46" t="str">
        <f xml:space="preserve"> Dashboard!D$44</f>
        <v>Scheidingspercentage papier</v>
      </c>
      <c r="G38" s="48">
        <f xml:space="preserve"> Dashboard!J$44</f>
        <v>0.65</v>
      </c>
    </row>
    <row r="39" spans="3:7" ht="13.95" customHeight="1" x14ac:dyDescent="0.3">
      <c r="F39" s="46" t="str">
        <f xml:space="preserve"> Dashboard!D$45</f>
        <v>Scheidingspercentage plastic</v>
      </c>
      <c r="G39" s="48">
        <f xml:space="preserve"> Dashboard!J$45</f>
        <v>0.6</v>
      </c>
    </row>
    <row r="40" spans="3:7" ht="13.95" customHeight="1" x14ac:dyDescent="0.3"/>
    <row r="41" spans="3:7" ht="13.95" hidden="1" customHeight="1" x14ac:dyDescent="0.3">
      <c r="C41" s="57" t="s">
        <v>1049</v>
      </c>
    </row>
    <row r="42" spans="3:7" ht="13.95" hidden="1" customHeight="1" x14ac:dyDescent="0.3">
      <c r="D42" t="s">
        <v>6</v>
      </c>
    </row>
    <row r="43" spans="3:7" ht="13.95" hidden="1" customHeight="1" x14ac:dyDescent="0.3">
      <c r="F43" s="46" t="str">
        <f xml:space="preserve"> Dashboard!D$3</f>
        <v>Selecteer gemeente</v>
      </c>
      <c r="G43" s="46"/>
    </row>
    <row r="44" spans="3:7" ht="13.95" hidden="1" customHeight="1" x14ac:dyDescent="0.3">
      <c r="F44" s="46" t="str">
        <f xml:space="preserve"> Dashboard!D$16</f>
        <v>Aantal woningen gemeente</v>
      </c>
      <c r="G44" s="46"/>
    </row>
    <row r="45" spans="3:7" ht="13.95" hidden="1" customHeight="1" x14ac:dyDescent="0.3">
      <c r="D45" t="s">
        <v>8</v>
      </c>
      <c r="F45" s="46"/>
      <c r="G45" s="46"/>
    </row>
    <row r="46" spans="3:7" ht="13.95" hidden="1" customHeight="1" x14ac:dyDescent="0.3">
      <c r="F46" s="46" t="str">
        <f xml:space="preserve"> Dashboard!D$21</f>
        <v>% brievenbussen Nee/Nee-sticker</v>
      </c>
      <c r="G46" s="47"/>
    </row>
    <row r="47" spans="3:7" ht="13.95" hidden="1" customHeight="1" x14ac:dyDescent="0.3">
      <c r="F47" s="46" t="str">
        <f xml:space="preserve"> Dashboard!D$22</f>
        <v>% brievenbussen Ja/Ja-sticker</v>
      </c>
      <c r="G47" s="47"/>
    </row>
    <row r="48" spans="3:7" ht="13.95" hidden="1" customHeight="1" x14ac:dyDescent="0.3">
      <c r="F48" s="46" t="str">
        <f xml:space="preserve"> Dashboard!D$23</f>
        <v>% brievenbussen Nee/Ja-sticker</v>
      </c>
      <c r="G48" s="47"/>
    </row>
    <row r="49" spans="3:8" ht="13.95" hidden="1" customHeight="1" x14ac:dyDescent="0.3">
      <c r="F49" s="46" t="str">
        <f xml:space="preserve"> Dashboard!D$24</f>
        <v>% brievenbussen geen sticker</v>
      </c>
      <c r="G49" s="47"/>
    </row>
    <row r="50" spans="3:8" ht="13.95" hidden="1" customHeight="1" x14ac:dyDescent="0.3">
      <c r="D50" t="s">
        <v>406</v>
      </c>
      <c r="F50" s="46"/>
      <c r="G50" s="47"/>
    </row>
    <row r="51" spans="3:8" ht="13.95" hidden="1" customHeight="1" x14ac:dyDescent="0.3">
      <c r="F51" s="46" t="str">
        <f xml:space="preserve"> Dashboard!D$29</f>
        <v>Wekelijkse gewicht ongeadresseerde reclame, gram per adres</v>
      </c>
      <c r="G51" s="47"/>
    </row>
    <row r="52" spans="3:8" ht="13.95" hidden="1" customHeight="1" x14ac:dyDescent="0.3">
      <c r="F52" s="46" t="str">
        <f xml:space="preserve"> Dashboard!D$30</f>
        <v>Wekelijkse gewicht aan verpakking ongeadresseerde reclame, gram per adres</v>
      </c>
      <c r="G52" s="47"/>
    </row>
    <row r="53" spans="3:8" ht="13.95" hidden="1" customHeight="1" x14ac:dyDescent="0.3">
      <c r="F53" s="46" t="str">
        <f xml:space="preserve"> Dashboard!D$31</f>
        <v>Wekelijkse gewicht huis-aan-huisbladen, gram per adres</v>
      </c>
      <c r="G53" s="47"/>
    </row>
    <row r="54" spans="3:8" ht="13.95" hidden="1" customHeight="1" x14ac:dyDescent="0.3">
      <c r="F54" s="46" t="str">
        <f xml:space="preserve"> Dashboard!D$32</f>
        <v>Wekelijkse gewicht aan verpakking huis-aan-huisbladen, gram per adres</v>
      </c>
      <c r="G54" s="47"/>
    </row>
    <row r="55" spans="3:8" ht="13.95" hidden="1" customHeight="1" x14ac:dyDescent="0.3">
      <c r="D55" t="s">
        <v>10</v>
      </c>
      <c r="F55" s="46"/>
      <c r="G55" s="46"/>
    </row>
    <row r="56" spans="3:8" ht="13.95" hidden="1" customHeight="1" x14ac:dyDescent="0.3">
      <c r="F56" s="46" t="str">
        <f xml:space="preserve"> Dashboard!D$34</f>
        <v>Aantal huishoudens aangemeld voor geadresseerd reclamedrukwerk</v>
      </c>
      <c r="G56" s="106"/>
    </row>
    <row r="57" spans="3:8" ht="13.95" hidden="1" customHeight="1" x14ac:dyDescent="0.3">
      <c r="D57" t="s">
        <v>17</v>
      </c>
    </row>
    <row r="58" spans="3:8" ht="13.95" hidden="1" customHeight="1" x14ac:dyDescent="0.3">
      <c r="F58" s="46" t="str">
        <f xml:space="preserve"> Dashboard!D$44</f>
        <v>Scheidingspercentage papier</v>
      </c>
      <c r="G58" s="48"/>
    </row>
    <row r="59" spans="3:8" ht="13.95" hidden="1" customHeight="1" x14ac:dyDescent="0.3">
      <c r="F59" s="46" t="str">
        <f xml:space="preserve"> Dashboard!D$45</f>
        <v>Scheidingspercentage plastic</v>
      </c>
      <c r="G59" s="48"/>
    </row>
    <row r="60" spans="3:8" ht="20.399999999999999" hidden="1" customHeight="1" x14ac:dyDescent="0.3"/>
    <row r="61" spans="3:8" ht="13.95" customHeight="1" x14ac:dyDescent="0.3">
      <c r="C61" s="57" t="s">
        <v>431</v>
      </c>
    </row>
    <row r="62" spans="3:8" ht="13.95" customHeight="1" x14ac:dyDescent="0.3">
      <c r="D62" t="s">
        <v>6</v>
      </c>
    </row>
    <row r="63" spans="3:8" ht="13.95" customHeight="1" x14ac:dyDescent="0.3">
      <c r="F63" t="s">
        <v>415</v>
      </c>
      <c r="G63" s="84" t="str">
        <f>IF(G9=1,G15,G43)</f>
        <v>Folderdam</v>
      </c>
      <c r="H63" t="s">
        <v>44</v>
      </c>
    </row>
    <row r="64" spans="3:8" ht="13.95" customHeight="1" x14ac:dyDescent="0.3">
      <c r="F64" t="s">
        <v>415</v>
      </c>
      <c r="G64" s="84">
        <f>$G$9*G16+$G$10*G44</f>
        <v>60000</v>
      </c>
      <c r="H64" t="s">
        <v>44</v>
      </c>
    </row>
    <row r="65" spans="4:8" ht="13.95" customHeight="1" x14ac:dyDescent="0.3">
      <c r="D65" t="s">
        <v>8</v>
      </c>
    </row>
    <row r="66" spans="4:8" ht="13.95" customHeight="1" x14ac:dyDescent="0.3">
      <c r="F66" t="s">
        <v>45</v>
      </c>
      <c r="G66" s="83">
        <f>$G$9*G20+$G$10*G46</f>
        <v>0.15</v>
      </c>
      <c r="H66" t="s">
        <v>9</v>
      </c>
    </row>
    <row r="67" spans="4:8" ht="13.95" customHeight="1" x14ac:dyDescent="0.3">
      <c r="F67" t="s">
        <v>46</v>
      </c>
      <c r="G67" s="83">
        <f>$G$9*G21+$G$10*G47</f>
        <v>0</v>
      </c>
      <c r="H67" t="s">
        <v>9</v>
      </c>
    </row>
    <row r="68" spans="4:8" ht="13.95" customHeight="1" x14ac:dyDescent="0.3">
      <c r="F68" t="s">
        <v>47</v>
      </c>
      <c r="G68" s="83">
        <f>$G$9*G22+$G$10*G48</f>
        <v>0.25</v>
      </c>
      <c r="H68" t="s">
        <v>9</v>
      </c>
    </row>
    <row r="69" spans="4:8" ht="13.95" customHeight="1" x14ac:dyDescent="0.3">
      <c r="F69" t="s">
        <v>48</v>
      </c>
      <c r="G69" s="83">
        <f>$G$9*G23+$G$10*G49</f>
        <v>0.6</v>
      </c>
      <c r="H69" t="s">
        <v>9</v>
      </c>
    </row>
    <row r="70" spans="4:8" ht="13.95" customHeight="1" x14ac:dyDescent="0.3">
      <c r="D70" t="s">
        <v>406</v>
      </c>
    </row>
    <row r="71" spans="4:8" ht="13.95" customHeight="1" x14ac:dyDescent="0.3">
      <c r="F71" t="s">
        <v>1050</v>
      </c>
      <c r="G71" s="84" t="str">
        <f>IF(G9=1,G18,G18)</f>
        <v>Optimaliseren opt-out (Nee/Nee)</v>
      </c>
    </row>
    <row r="72" spans="4:8" ht="13.95" customHeight="1" x14ac:dyDescent="0.3"/>
    <row r="73" spans="4:8" ht="13.95" customHeight="1" x14ac:dyDescent="0.3">
      <c r="F73" t="s">
        <v>420</v>
      </c>
      <c r="G73" s="85">
        <f>$G$9*G25+$G$10*G51</f>
        <v>500</v>
      </c>
      <c r="H73" t="s">
        <v>30</v>
      </c>
    </row>
    <row r="74" spans="4:8" ht="13.95" customHeight="1" x14ac:dyDescent="0.3">
      <c r="F74" t="s">
        <v>421</v>
      </c>
      <c r="G74" s="85">
        <f>$G$9*G26+$G$10*G52</f>
        <v>1.5</v>
      </c>
      <c r="H74" t="s">
        <v>30</v>
      </c>
    </row>
    <row r="75" spans="4:8" ht="13.95" customHeight="1" x14ac:dyDescent="0.3">
      <c r="F75" t="s">
        <v>433</v>
      </c>
      <c r="G75" s="85">
        <f>$G$9*G27+$G$10*G53</f>
        <v>65</v>
      </c>
      <c r="H75" t="s">
        <v>30</v>
      </c>
    </row>
    <row r="76" spans="4:8" ht="13.95" customHeight="1" x14ac:dyDescent="0.3">
      <c r="F76" t="s">
        <v>434</v>
      </c>
      <c r="G76" s="85">
        <f>$G$9*G28+$G$10*G54</f>
        <v>0</v>
      </c>
      <c r="H76" t="s">
        <v>30</v>
      </c>
    </row>
    <row r="77" spans="4:8" ht="1.95" customHeight="1" x14ac:dyDescent="0.3">
      <c r="G77" s="187"/>
    </row>
    <row r="78" spans="4:8" ht="13.95" customHeight="1" x14ac:dyDescent="0.3">
      <c r="F78" t="s">
        <v>1597</v>
      </c>
      <c r="G78" s="83">
        <f>$G$9*G30+$G$10*G56</f>
        <v>1</v>
      </c>
      <c r="H78" t="s">
        <v>9</v>
      </c>
    </row>
    <row r="79" spans="4:8" ht="13.95" customHeight="1" x14ac:dyDescent="0.3">
      <c r="F79" t="s">
        <v>1598</v>
      </c>
      <c r="G79" s="83">
        <f>$G$9*G31+$G$10*G57</f>
        <v>1</v>
      </c>
      <c r="H79" t="s">
        <v>9</v>
      </c>
    </row>
    <row r="80" spans="4:8" ht="13.95" customHeight="1" x14ac:dyDescent="0.3">
      <c r="D80" t="s">
        <v>432</v>
      </c>
      <c r="G80" s="187"/>
    </row>
    <row r="81" spans="1:8" ht="13.95" customHeight="1" x14ac:dyDescent="0.3">
      <c r="F81" t="s">
        <v>1583</v>
      </c>
      <c r="G81" s="101">
        <f>IF(G33=1,1,0)</f>
        <v>1</v>
      </c>
      <c r="H81" t="s">
        <v>1586</v>
      </c>
    </row>
    <row r="82" spans="1:8" ht="13.95" customHeight="1" x14ac:dyDescent="0.3">
      <c r="F82" t="s">
        <v>1584</v>
      </c>
      <c r="G82" s="85">
        <f>$G$9*G34+$G$10*G57</f>
        <v>65</v>
      </c>
      <c r="H82" t="s">
        <v>30</v>
      </c>
    </row>
    <row r="83" spans="1:8" ht="13.95" customHeight="1" x14ac:dyDescent="0.3">
      <c r="D83" t="s">
        <v>10</v>
      </c>
    </row>
    <row r="84" spans="1:8" ht="13.95" customHeight="1" x14ac:dyDescent="0.3">
      <c r="F84" t="s">
        <v>695</v>
      </c>
      <c r="G84" s="99">
        <f>$G$9*G36+$G$10*G56</f>
        <v>616</v>
      </c>
      <c r="H84" t="s">
        <v>44</v>
      </c>
    </row>
    <row r="85" spans="1:8" ht="13.95" customHeight="1" x14ac:dyDescent="0.3">
      <c r="D85" t="s">
        <v>17</v>
      </c>
    </row>
    <row r="86" spans="1:8" ht="13.95" customHeight="1" x14ac:dyDescent="0.3">
      <c r="F86" t="s">
        <v>692</v>
      </c>
      <c r="G86" s="83">
        <f>$G$9*G38+$G$10*G58</f>
        <v>0.65</v>
      </c>
      <c r="H86" t="s">
        <v>9</v>
      </c>
    </row>
    <row r="87" spans="1:8" ht="13.95" customHeight="1" x14ac:dyDescent="0.3">
      <c r="F87" t="s">
        <v>694</v>
      </c>
      <c r="G87" s="83">
        <f>$G$9*G39+$G$10*G59</f>
        <v>0.6</v>
      </c>
      <c r="H87" t="s">
        <v>9</v>
      </c>
    </row>
    <row r="88" spans="1:8" ht="13.95" customHeight="1" x14ac:dyDescent="0.3"/>
    <row r="89" spans="1:8" s="44" customFormat="1" ht="13.95" customHeight="1" x14ac:dyDescent="0.3">
      <c r="A89" s="96" t="s">
        <v>673</v>
      </c>
      <c r="B89" s="52"/>
      <c r="C89" s="56"/>
      <c r="E89" s="52"/>
    </row>
    <row r="90" spans="1:8" ht="13.95" customHeight="1" x14ac:dyDescent="0.3"/>
    <row r="91" spans="1:8" ht="13.95" customHeight="1" x14ac:dyDescent="0.3">
      <c r="F91" s="64" t="str">
        <f xml:space="preserve"> F$63</f>
        <v>Aantal huishoudens gemeente (beschikbare data)</v>
      </c>
      <c r="G91" s="64">
        <f>G64</f>
        <v>60000</v>
      </c>
      <c r="H91" s="64" t="str">
        <f xml:space="preserve"> H$63</f>
        <v>huishoudens</v>
      </c>
    </row>
    <row r="92" spans="1:8" ht="13.95" customHeight="1" x14ac:dyDescent="0.3">
      <c r="F92" s="64" t="s">
        <v>1062</v>
      </c>
      <c r="G92" s="64">
        <f>HLOOKUP($G$63,Gemeentecijfers!$M$2:$NE$42,Gemeentecijfers!K8,FALSE)</f>
        <v>120000</v>
      </c>
      <c r="H92" s="64" t="s">
        <v>640</v>
      </c>
    </row>
    <row r="93" spans="1:8" ht="13.95" customHeight="1" x14ac:dyDescent="0.3">
      <c r="F93" t="s">
        <v>674</v>
      </c>
      <c r="G93" s="123">
        <f>HLOOKUP($G$63,Gemeentecijfers!$M$2:$NE$42,Gemeentecijfers!K40,FALSE)</f>
        <v>140</v>
      </c>
      <c r="H93" t="s">
        <v>12</v>
      </c>
    </row>
    <row r="94" spans="1:8" ht="13.95" customHeight="1" x14ac:dyDescent="0.3">
      <c r="F94" t="s">
        <v>677</v>
      </c>
      <c r="G94" s="123">
        <f>HLOOKUP($G$63,Gemeentecijfers!$M$2:$NE$42,Gemeentecijfers!K41,FALSE)</f>
        <v>1000</v>
      </c>
      <c r="H94" t="s">
        <v>12</v>
      </c>
    </row>
    <row r="95" spans="1:8" ht="13.95" customHeight="1" x14ac:dyDescent="0.3"/>
    <row r="96" spans="1:8" s="40" customFormat="1" ht="13.95" customHeight="1" x14ac:dyDescent="0.3">
      <c r="A96" s="60" t="s">
        <v>899</v>
      </c>
      <c r="B96" s="61"/>
      <c r="C96" s="62"/>
      <c r="E96" s="61"/>
    </row>
    <row r="97" spans="2:14" ht="13.95" customHeight="1" x14ac:dyDescent="0.3"/>
    <row r="98" spans="2:14" ht="13.95" customHeight="1" x14ac:dyDescent="0.3">
      <c r="B98" s="53" t="s">
        <v>1061</v>
      </c>
      <c r="L98" s="1" t="s">
        <v>416</v>
      </c>
      <c r="M98" s="43"/>
      <c r="N98" s="43"/>
    </row>
    <row r="99" spans="2:14" ht="13.95" customHeight="1" x14ac:dyDescent="0.3">
      <c r="F99" s="64" t="str">
        <f xml:space="preserve"> F$92</f>
        <v>Aantal inwoners gemeente</v>
      </c>
      <c r="G99" s="64">
        <f xml:space="preserve"> G$92</f>
        <v>120000</v>
      </c>
      <c r="H99" s="64" t="str">
        <f xml:space="preserve"> H$92</f>
        <v>inwoners</v>
      </c>
      <c r="L99" s="1" t="s">
        <v>417</v>
      </c>
      <c r="M99" s="43"/>
      <c r="N99" s="43"/>
    </row>
    <row r="100" spans="2:14" ht="13.95" customHeight="1" x14ac:dyDescent="0.3">
      <c r="F100" s="64" t="str">
        <f xml:space="preserve"> F$71</f>
        <v>Keuze toekomstig systeem</v>
      </c>
      <c r="G100" s="64" t="str">
        <f xml:space="preserve"> G$71</f>
        <v>Optimaliseren opt-out (Nee/Nee)</v>
      </c>
      <c r="L100" s="43"/>
      <c r="M100" s="43"/>
      <c r="N100" s="43"/>
    </row>
    <row r="101" spans="2:14" ht="1.95" customHeight="1" x14ac:dyDescent="0.3">
      <c r="F101" s="64"/>
      <c r="G101" s="64"/>
      <c r="L101" s="43"/>
      <c r="M101" s="43"/>
      <c r="N101" s="43"/>
    </row>
    <row r="102" spans="2:14" ht="13.95" customHeight="1" x14ac:dyDescent="0.3">
      <c r="F102" s="64" t="s">
        <v>1587</v>
      </c>
      <c r="G102" s="64">
        <f>IF(OR(G100="Opt-in (Ja/Ja), incl. huis-aan-huisbladen",G100="Opt-in (Ja/Ja), excl. huis-aan-huisbladen"),1,0)</f>
        <v>0</v>
      </c>
      <c r="H102" s="64" t="str">
        <f xml:space="preserve"> H$81</f>
        <v>1 = Ja / 0 = Nee</v>
      </c>
      <c r="L102" s="43"/>
      <c r="M102" s="43"/>
      <c r="N102" s="43"/>
    </row>
    <row r="103" spans="2:14" ht="13.95" customHeight="1" x14ac:dyDescent="0.3">
      <c r="F103" s="64" t="str">
        <f xml:space="preserve"> F$81</f>
        <v>Waterbedeffect treedt op (hoeveelheid huis-aan-huis verdubbelt)</v>
      </c>
      <c r="G103" s="67">
        <f xml:space="preserve"> G$81</f>
        <v>1</v>
      </c>
      <c r="H103" s="64" t="str">
        <f xml:space="preserve"> H$81</f>
        <v>1 = Ja / 0 = Nee</v>
      </c>
      <c r="L103" s="43"/>
      <c r="M103" s="43"/>
      <c r="N103" s="43"/>
    </row>
    <row r="104" spans="2:14" ht="13.95" customHeight="1" x14ac:dyDescent="0.3">
      <c r="F104" s="64" t="str">
        <f xml:space="preserve"> F$82</f>
        <v>Wekelijkse extra gewicht huis-aan-huisbladen bij waterbedeffect</v>
      </c>
      <c r="G104" s="100">
        <f xml:space="preserve"> G$82</f>
        <v>65</v>
      </c>
      <c r="H104" s="64" t="str">
        <f xml:space="preserve"> H$82</f>
        <v>gram</v>
      </c>
      <c r="L104" s="43"/>
      <c r="M104" s="43"/>
      <c r="N104" s="43"/>
    </row>
    <row r="105" spans="2:14" ht="1.95" customHeight="1" x14ac:dyDescent="0.3">
      <c r="L105" s="43"/>
      <c r="M105" s="43"/>
      <c r="N105" s="43"/>
    </row>
    <row r="106" spans="2:14" ht="13.95" customHeight="1" x14ac:dyDescent="0.3">
      <c r="F106" t="s">
        <v>1063</v>
      </c>
      <c r="G106">
        <f>G102*G103*G104</f>
        <v>0</v>
      </c>
      <c r="H106" t="s">
        <v>28</v>
      </c>
      <c r="L106" s="43"/>
      <c r="M106" s="43"/>
      <c r="N106" s="43"/>
    </row>
    <row r="107" spans="2:14" ht="13.95" customHeight="1" x14ac:dyDescent="0.3"/>
    <row r="108" spans="2:14" ht="13.95" customHeight="1" x14ac:dyDescent="0.3">
      <c r="B108" s="53" t="s">
        <v>494</v>
      </c>
      <c r="F108" s="53"/>
    </row>
    <row r="109" spans="2:14" ht="13.95" customHeight="1" x14ac:dyDescent="0.3">
      <c r="C109" s="57" t="s">
        <v>435</v>
      </c>
    </row>
    <row r="110" spans="2:14" ht="13.95" customHeight="1" x14ac:dyDescent="0.3">
      <c r="F110" s="64" t="str">
        <f xml:space="preserve"> F$64</f>
        <v>Aantal huishoudens gemeente (beschikbare data)</v>
      </c>
      <c r="G110" s="64">
        <f xml:space="preserve"> G$64</f>
        <v>60000</v>
      </c>
      <c r="H110" s="64" t="str">
        <f xml:space="preserve"> H$64</f>
        <v>huishoudens</v>
      </c>
    </row>
    <row r="111" spans="2:14" ht="1.95" customHeight="1" x14ac:dyDescent="0.3">
      <c r="F111" s="64"/>
      <c r="G111" s="64"/>
      <c r="H111" s="64"/>
    </row>
    <row r="112" spans="2:14" ht="13.95" customHeight="1" x14ac:dyDescent="0.3">
      <c r="F112" s="64" t="str">
        <f xml:space="preserve"> F$66</f>
        <v>% huishoudens Nee/Nee-sticker</v>
      </c>
      <c r="G112" s="65">
        <f xml:space="preserve"> G$66</f>
        <v>0.15</v>
      </c>
      <c r="H112" s="64" t="str">
        <f xml:space="preserve"> H$66</f>
        <v>%</v>
      </c>
    </row>
    <row r="113" spans="3:10" ht="13.95" customHeight="1" x14ac:dyDescent="0.3">
      <c r="F113" s="64" t="str">
        <f xml:space="preserve"> F$67</f>
        <v>% huishoudens Ja/Ja-sticker</v>
      </c>
      <c r="G113" s="65">
        <f xml:space="preserve"> G$67</f>
        <v>0</v>
      </c>
      <c r="H113" s="64" t="str">
        <f xml:space="preserve"> H$67</f>
        <v>%</v>
      </c>
    </row>
    <row r="114" spans="3:10" ht="13.95" customHeight="1" x14ac:dyDescent="0.3">
      <c r="F114" s="64" t="str">
        <f xml:space="preserve"> F$68</f>
        <v>% huishoudens Nee/Ja-sticker</v>
      </c>
      <c r="G114" s="65">
        <f xml:space="preserve"> G$68</f>
        <v>0.25</v>
      </c>
      <c r="H114" s="64" t="str">
        <f xml:space="preserve"> H$68</f>
        <v>%</v>
      </c>
    </row>
    <row r="115" spans="3:10" ht="13.95" customHeight="1" x14ac:dyDescent="0.3">
      <c r="F115" s="64" t="str">
        <f xml:space="preserve"> F$69</f>
        <v>% huishoudens geen sticker</v>
      </c>
      <c r="G115" s="65">
        <f xml:space="preserve"> G$69</f>
        <v>0.6</v>
      </c>
      <c r="H115" s="64" t="str">
        <f xml:space="preserve"> H$69</f>
        <v>%</v>
      </c>
      <c r="J115" s="120"/>
    </row>
    <row r="116" spans="3:10" ht="1.95" customHeight="1" x14ac:dyDescent="0.3"/>
    <row r="117" spans="3:10" ht="13.95" customHeight="1" x14ac:dyDescent="0.3">
      <c r="F117" t="s">
        <v>436</v>
      </c>
      <c r="G117">
        <f>$G$110*G112</f>
        <v>9000</v>
      </c>
      <c r="H117" t="s">
        <v>44</v>
      </c>
    </row>
    <row r="118" spans="3:10" ht="13.95" customHeight="1" x14ac:dyDescent="0.3">
      <c r="F118" t="s">
        <v>437</v>
      </c>
      <c r="G118">
        <f t="shared" ref="G118:G120" si="0">$G$110*G113</f>
        <v>0</v>
      </c>
      <c r="H118" t="s">
        <v>44</v>
      </c>
    </row>
    <row r="119" spans="3:10" ht="13.95" customHeight="1" x14ac:dyDescent="0.3">
      <c r="F119" t="s">
        <v>438</v>
      </c>
      <c r="G119">
        <f t="shared" si="0"/>
        <v>15000</v>
      </c>
      <c r="H119" t="s">
        <v>44</v>
      </c>
    </row>
    <row r="120" spans="3:10" ht="13.95" customHeight="1" x14ac:dyDescent="0.3">
      <c r="F120" t="s">
        <v>439</v>
      </c>
      <c r="G120">
        <f t="shared" si="0"/>
        <v>36000</v>
      </c>
      <c r="H120" t="s">
        <v>44</v>
      </c>
    </row>
    <row r="121" spans="3:10" ht="13.95" customHeight="1" x14ac:dyDescent="0.3"/>
    <row r="122" spans="3:10" ht="13.95" customHeight="1" x14ac:dyDescent="0.3">
      <c r="C122" s="57" t="s">
        <v>440</v>
      </c>
    </row>
    <row r="123" spans="3:10" ht="13.95" customHeight="1" x14ac:dyDescent="0.3">
      <c r="D123" t="s">
        <v>447</v>
      </c>
    </row>
    <row r="124" spans="3:10" ht="13.95" customHeight="1" x14ac:dyDescent="0.3">
      <c r="F124" s="64" t="str">
        <f xml:space="preserve"> F$71</f>
        <v>Keuze toekomstig systeem</v>
      </c>
      <c r="G124" s="64" t="str">
        <f xml:space="preserve"> G$71</f>
        <v>Optimaliseren opt-out (Nee/Nee)</v>
      </c>
    </row>
    <row r="125" spans="3:10" ht="13.95" customHeight="1" x14ac:dyDescent="0.3"/>
    <row r="126" spans="3:10" ht="13.95" customHeight="1" x14ac:dyDescent="0.3">
      <c r="F126" t="s">
        <v>416</v>
      </c>
      <c r="G126">
        <f>IF(F126=$G$124,1,0)</f>
        <v>0</v>
      </c>
      <c r="H126" t="s">
        <v>771</v>
      </c>
    </row>
    <row r="127" spans="3:10" ht="13.95" customHeight="1" x14ac:dyDescent="0.3">
      <c r="F127" t="s">
        <v>417</v>
      </c>
      <c r="G127">
        <f t="shared" ref="G127:G129" si="1">IF(F127=$G$124,1,0)</f>
        <v>0</v>
      </c>
      <c r="H127" t="s">
        <v>771</v>
      </c>
    </row>
    <row r="128" spans="3:10" ht="13.95" customHeight="1" x14ac:dyDescent="0.3">
      <c r="F128" t="s">
        <v>1567</v>
      </c>
      <c r="G128">
        <f t="shared" si="1"/>
        <v>1</v>
      </c>
      <c r="H128" t="s">
        <v>771</v>
      </c>
    </row>
    <row r="129" spans="4:11" ht="13.95" customHeight="1" x14ac:dyDescent="0.3">
      <c r="F129" t="s">
        <v>412</v>
      </c>
      <c r="G129">
        <f t="shared" si="1"/>
        <v>0</v>
      </c>
      <c r="H129" t="s">
        <v>771</v>
      </c>
    </row>
    <row r="130" spans="4:11" ht="13.95" customHeight="1" x14ac:dyDescent="0.3"/>
    <row r="131" spans="4:11" ht="13.95" customHeight="1" x14ac:dyDescent="0.3">
      <c r="D131" t="s">
        <v>1051</v>
      </c>
    </row>
    <row r="132" spans="4:11" ht="13.95" customHeight="1" x14ac:dyDescent="0.3">
      <c r="F132" s="64" t="str">
        <f xml:space="preserve"> F$64</f>
        <v>Aantal huishoudens gemeente (beschikbare data)</v>
      </c>
      <c r="G132" s="64">
        <f xml:space="preserve"> G$64</f>
        <v>60000</v>
      </c>
      <c r="H132" s="64" t="str">
        <f xml:space="preserve"> H$64</f>
        <v>huishoudens</v>
      </c>
    </row>
    <row r="133" spans="4:11" ht="13.95" customHeight="1" x14ac:dyDescent="0.3">
      <c r="F133" s="64" t="str">
        <f xml:space="preserve"> F$84</f>
        <v>Totaal aantal huishoudens dat kleinere selectie ontvangt</v>
      </c>
      <c r="G133" s="131">
        <f xml:space="preserve"> G$84</f>
        <v>616</v>
      </c>
      <c r="H133" s="64" t="str">
        <f xml:space="preserve"> H$84</f>
        <v>huishoudens</v>
      </c>
    </row>
    <row r="134" spans="4:11" ht="1.95" customHeight="1" x14ac:dyDescent="0.3">
      <c r="G134" s="122"/>
    </row>
    <row r="135" spans="4:11" ht="13.95" customHeight="1" x14ac:dyDescent="0.3">
      <c r="F135" s="64" t="str">
        <f xml:space="preserve"> F$117</f>
        <v>Aantal huishoudens Nee/Nee-sticker</v>
      </c>
      <c r="G135" s="126">
        <f xml:space="preserve"> G$117</f>
        <v>9000</v>
      </c>
      <c r="H135" s="64" t="str">
        <f xml:space="preserve"> H$117</f>
        <v>huishoudens</v>
      </c>
      <c r="K135" t="s">
        <v>1169</v>
      </c>
    </row>
    <row r="136" spans="4:11" ht="13.95" customHeight="1" x14ac:dyDescent="0.3">
      <c r="F136" s="64" t="str">
        <f xml:space="preserve"> F$118</f>
        <v>Aantal huishoudens Ja/Ja-sticker</v>
      </c>
      <c r="G136" s="126">
        <f xml:space="preserve"> G$118</f>
        <v>0</v>
      </c>
      <c r="H136" s="64" t="str">
        <f xml:space="preserve"> H$118</f>
        <v>huishoudens</v>
      </c>
      <c r="J136" s="66"/>
    </row>
    <row r="137" spans="4:11" ht="13.95" customHeight="1" x14ac:dyDescent="0.3">
      <c r="F137" s="64" t="str">
        <f xml:space="preserve"> F$119</f>
        <v>Aantal huishoudens Nee/Ja-sticker</v>
      </c>
      <c r="G137" s="126">
        <f xml:space="preserve"> G$119</f>
        <v>15000</v>
      </c>
      <c r="H137" s="64" t="str">
        <f xml:space="preserve"> H$119</f>
        <v>huishoudens</v>
      </c>
    </row>
    <row r="138" spans="4:11" ht="13.95" customHeight="1" x14ac:dyDescent="0.3">
      <c r="F138" s="64" t="str">
        <f xml:space="preserve"> F$120</f>
        <v>Aantal huishoudens geen sticker</v>
      </c>
      <c r="G138" s="126">
        <f xml:space="preserve"> G$120</f>
        <v>36000</v>
      </c>
      <c r="H138" s="64" t="str">
        <f xml:space="preserve"> H$120</f>
        <v>huishoudens</v>
      </c>
    </row>
    <row r="139" spans="4:11" ht="1.95" customHeight="1" x14ac:dyDescent="0.3">
      <c r="G139" s="122"/>
    </row>
    <row r="140" spans="4:11" ht="13.95" customHeight="1" x14ac:dyDescent="0.3">
      <c r="F140" t="s">
        <v>442</v>
      </c>
      <c r="G140" s="126">
        <f>G135-G141</f>
        <v>8769</v>
      </c>
      <c r="H140" s="64" t="str">
        <f t="shared" ref="H140:H168" si="2" xml:space="preserve"> H$118</f>
        <v>huishoudens</v>
      </c>
      <c r="K140" t="s">
        <v>1170</v>
      </c>
    </row>
    <row r="141" spans="4:11" ht="13.95" customHeight="1" x14ac:dyDescent="0.3">
      <c r="F141" s="64" t="s">
        <v>441</v>
      </c>
      <c r="G141" s="122">
        <f>G135/(G135+G137)*G133</f>
        <v>231</v>
      </c>
      <c r="H141" s="64" t="str">
        <f t="shared" si="2"/>
        <v>huishoudens</v>
      </c>
      <c r="J141" s="66"/>
    </row>
    <row r="142" spans="4:11" ht="13.95" customHeight="1" x14ac:dyDescent="0.3">
      <c r="F142" t="s">
        <v>443</v>
      </c>
      <c r="G142" s="122">
        <f>G136</f>
        <v>0</v>
      </c>
      <c r="H142" s="64" t="str">
        <f t="shared" si="2"/>
        <v>huishoudens</v>
      </c>
    </row>
    <row r="143" spans="4:11" ht="13.95" customHeight="1" x14ac:dyDescent="0.3">
      <c r="F143" t="s">
        <v>444</v>
      </c>
      <c r="G143" s="122">
        <f>G137-G144</f>
        <v>14615</v>
      </c>
      <c r="H143" s="64" t="str">
        <f t="shared" si="2"/>
        <v>huishoudens</v>
      </c>
    </row>
    <row r="144" spans="4:11" ht="13.95" customHeight="1" x14ac:dyDescent="0.3">
      <c r="F144" t="s">
        <v>445</v>
      </c>
      <c r="G144" s="122">
        <f>G137/(G135+G137)*G133</f>
        <v>385</v>
      </c>
      <c r="H144" s="64" t="str">
        <f t="shared" si="2"/>
        <v>huishoudens</v>
      </c>
    </row>
    <row r="145" spans="4:11" ht="13.95" customHeight="1" x14ac:dyDescent="0.3">
      <c r="F145" t="s">
        <v>446</v>
      </c>
      <c r="G145" s="122">
        <f>G138</f>
        <v>36000</v>
      </c>
      <c r="H145" s="64" t="str">
        <f t="shared" si="2"/>
        <v>huishoudens</v>
      </c>
    </row>
    <row r="146" spans="4:11" ht="1.95" customHeight="1" x14ac:dyDescent="0.3">
      <c r="G146" s="66"/>
      <c r="H146" s="64"/>
    </row>
    <row r="147" spans="4:11" ht="13.95" customHeight="1" x14ac:dyDescent="0.3">
      <c r="F147" s="43" t="s">
        <v>1052</v>
      </c>
      <c r="G147" s="66">
        <f>(G145+G140)*G126</f>
        <v>0</v>
      </c>
      <c r="H147" s="64" t="s">
        <v>44</v>
      </c>
      <c r="K147" t="s">
        <v>1172</v>
      </c>
    </row>
    <row r="148" spans="4:11" ht="13.95" customHeight="1" x14ac:dyDescent="0.3">
      <c r="F148" s="43" t="s">
        <v>1057</v>
      </c>
      <c r="G148" s="66">
        <f>G142*G126</f>
        <v>0</v>
      </c>
      <c r="H148" s="64" t="s">
        <v>44</v>
      </c>
    </row>
    <row r="149" spans="4:11" ht="13.95" customHeight="1" x14ac:dyDescent="0.3">
      <c r="F149" s="43" t="s">
        <v>1157</v>
      </c>
      <c r="G149" s="122">
        <v>0</v>
      </c>
      <c r="H149" s="64" t="s">
        <v>44</v>
      </c>
      <c r="J149" s="121" t="s">
        <v>1168</v>
      </c>
    </row>
    <row r="150" spans="4:11" ht="13.95" customHeight="1" x14ac:dyDescent="0.3">
      <c r="F150" s="43" t="s">
        <v>1054</v>
      </c>
      <c r="G150" s="66">
        <f>G143*G126</f>
        <v>0</v>
      </c>
      <c r="H150" s="64" t="s">
        <v>44</v>
      </c>
    </row>
    <row r="151" spans="4:11" ht="13.95" customHeight="1" x14ac:dyDescent="0.3">
      <c r="F151" s="43" t="s">
        <v>1055</v>
      </c>
      <c r="G151" s="66">
        <f>G144*G126</f>
        <v>0</v>
      </c>
      <c r="H151" s="64" t="s">
        <v>44</v>
      </c>
      <c r="J151" s="66"/>
      <c r="K151" s="66"/>
    </row>
    <row r="152" spans="4:11" ht="13.95" customHeight="1" x14ac:dyDescent="0.3">
      <c r="F152" s="43" t="s">
        <v>1056</v>
      </c>
      <c r="G152" s="66">
        <f>G141*G126</f>
        <v>0</v>
      </c>
      <c r="H152" s="64" t="s">
        <v>44</v>
      </c>
    </row>
    <row r="153" spans="4:11" ht="13.95" customHeight="1" x14ac:dyDescent="0.3">
      <c r="G153" s="66"/>
      <c r="H153" s="64"/>
    </row>
    <row r="154" spans="4:11" ht="13.95" customHeight="1" x14ac:dyDescent="0.3">
      <c r="D154" t="s">
        <v>1058</v>
      </c>
      <c r="G154" s="66"/>
      <c r="H154" s="64"/>
    </row>
    <row r="155" spans="4:11" ht="13.95" customHeight="1" x14ac:dyDescent="0.3">
      <c r="F155" s="64" t="str">
        <f xml:space="preserve"> F$64</f>
        <v>Aantal huishoudens gemeente (beschikbare data)</v>
      </c>
      <c r="G155" s="64">
        <f xml:space="preserve"> G$64</f>
        <v>60000</v>
      </c>
      <c r="H155" s="64" t="str">
        <f xml:space="preserve"> H$64</f>
        <v>huishoudens</v>
      </c>
    </row>
    <row r="156" spans="4:11" ht="13.95" customHeight="1" x14ac:dyDescent="0.3">
      <c r="F156" s="64" t="str">
        <f xml:space="preserve"> F$84</f>
        <v>Totaal aantal huishoudens dat kleinere selectie ontvangt</v>
      </c>
      <c r="G156" s="100">
        <f xml:space="preserve"> G$84</f>
        <v>616</v>
      </c>
      <c r="H156" s="64" t="str">
        <f xml:space="preserve"> H$84</f>
        <v>huishoudens</v>
      </c>
    </row>
    <row r="157" spans="4:11" ht="1.95" customHeight="1" x14ac:dyDescent="0.3">
      <c r="G157" s="66"/>
    </row>
    <row r="158" spans="4:11" ht="13.95" customHeight="1" x14ac:dyDescent="0.3">
      <c r="F158" s="64" t="str">
        <f xml:space="preserve"> F$117</f>
        <v>Aantal huishoudens Nee/Nee-sticker</v>
      </c>
      <c r="G158" s="67">
        <f xml:space="preserve"> G$117</f>
        <v>9000</v>
      </c>
      <c r="H158" s="64" t="str">
        <f xml:space="preserve"> H$117</f>
        <v>huishoudens</v>
      </c>
      <c r="K158" t="s">
        <v>1169</v>
      </c>
    </row>
    <row r="159" spans="4:11" ht="13.95" customHeight="1" x14ac:dyDescent="0.3">
      <c r="F159" s="64" t="str">
        <f xml:space="preserve"> F$118</f>
        <v>Aantal huishoudens Ja/Ja-sticker</v>
      </c>
      <c r="G159" s="67">
        <f xml:space="preserve"> G$118</f>
        <v>0</v>
      </c>
      <c r="H159" s="64" t="str">
        <f xml:space="preserve"> H$118</f>
        <v>huishoudens</v>
      </c>
    </row>
    <row r="160" spans="4:11" ht="13.95" customHeight="1" x14ac:dyDescent="0.3">
      <c r="F160" s="64" t="str">
        <f xml:space="preserve"> F$119</f>
        <v>Aantal huishoudens Nee/Ja-sticker</v>
      </c>
      <c r="G160" s="67">
        <f xml:space="preserve"> G$119</f>
        <v>15000</v>
      </c>
      <c r="H160" s="64" t="str">
        <f xml:space="preserve"> H$119</f>
        <v>huishoudens</v>
      </c>
    </row>
    <row r="161" spans="6:13" ht="13.95" customHeight="1" x14ac:dyDescent="0.3">
      <c r="F161" s="64" t="str">
        <f xml:space="preserve"> F$120</f>
        <v>Aantal huishoudens geen sticker</v>
      </c>
      <c r="G161" s="67">
        <f xml:space="preserve"> G$120</f>
        <v>36000</v>
      </c>
      <c r="H161" s="64" t="str">
        <f xml:space="preserve"> H$120</f>
        <v>huishoudens</v>
      </c>
    </row>
    <row r="162" spans="6:13" ht="1.95" customHeight="1" x14ac:dyDescent="0.3">
      <c r="G162" s="66"/>
    </row>
    <row r="163" spans="6:13" ht="13.95" customHeight="1" x14ac:dyDescent="0.3">
      <c r="F163" t="s">
        <v>442</v>
      </c>
      <c r="G163" s="67">
        <f>G158-G164</f>
        <v>8769</v>
      </c>
      <c r="H163" s="64" t="str">
        <f t="shared" si="2"/>
        <v>huishoudens</v>
      </c>
      <c r="K163" t="s">
        <v>1170</v>
      </c>
    </row>
    <row r="164" spans="6:13" ht="13.95" customHeight="1" x14ac:dyDescent="0.3">
      <c r="F164" s="64" t="s">
        <v>441</v>
      </c>
      <c r="G164" s="66">
        <f>G158/(G158+G160)*G156</f>
        <v>231</v>
      </c>
      <c r="H164" s="64" t="str">
        <f t="shared" si="2"/>
        <v>huishoudens</v>
      </c>
    </row>
    <row r="165" spans="6:13" ht="13.95" customHeight="1" x14ac:dyDescent="0.3">
      <c r="F165" t="s">
        <v>443</v>
      </c>
      <c r="G165" s="66">
        <f>G159</f>
        <v>0</v>
      </c>
      <c r="H165" s="64" t="str">
        <f t="shared" si="2"/>
        <v>huishoudens</v>
      </c>
    </row>
    <row r="166" spans="6:13" ht="13.95" customHeight="1" x14ac:dyDescent="0.3">
      <c r="F166" t="s">
        <v>444</v>
      </c>
      <c r="G166" s="66">
        <f>G160-G167</f>
        <v>14615</v>
      </c>
      <c r="H166" s="64" t="str">
        <f t="shared" si="2"/>
        <v>huishoudens</v>
      </c>
    </row>
    <row r="167" spans="6:13" ht="13.95" customHeight="1" x14ac:dyDescent="0.3">
      <c r="F167" t="s">
        <v>445</v>
      </c>
      <c r="G167" s="66">
        <f>G160/(G158+G160)*G156</f>
        <v>385</v>
      </c>
      <c r="H167" s="64" t="str">
        <f t="shared" si="2"/>
        <v>huishoudens</v>
      </c>
    </row>
    <row r="168" spans="6:13" ht="13.95" customHeight="1" x14ac:dyDescent="0.3">
      <c r="F168" t="s">
        <v>446</v>
      </c>
      <c r="G168" s="66">
        <f>G161</f>
        <v>36000</v>
      </c>
      <c r="H168" s="64" t="str">
        <f t="shared" si="2"/>
        <v>huishoudens</v>
      </c>
    </row>
    <row r="169" spans="6:13" ht="1.95" customHeight="1" x14ac:dyDescent="0.3">
      <c r="G169" s="66"/>
      <c r="H169" s="64"/>
    </row>
    <row r="170" spans="6:13" ht="13.95" customHeight="1" x14ac:dyDescent="0.3">
      <c r="F170" s="43" t="s">
        <v>1052</v>
      </c>
      <c r="G170" s="122">
        <f>G163*G127</f>
        <v>0</v>
      </c>
      <c r="H170" s="64" t="s">
        <v>44</v>
      </c>
      <c r="J170" s="128"/>
      <c r="K170" t="s">
        <v>1173</v>
      </c>
    </row>
    <row r="171" spans="6:13" ht="13.95" customHeight="1" x14ac:dyDescent="0.3">
      <c r="F171" s="43" t="s">
        <v>1057</v>
      </c>
      <c r="G171" s="122">
        <f>G165*G127</f>
        <v>0</v>
      </c>
      <c r="H171" s="64" t="s">
        <v>44</v>
      </c>
      <c r="J171" s="128"/>
      <c r="K171" s="128"/>
    </row>
    <row r="172" spans="6:13" ht="13.95" customHeight="1" x14ac:dyDescent="0.3">
      <c r="F172" s="43" t="s">
        <v>1053</v>
      </c>
      <c r="G172" s="122">
        <v>0</v>
      </c>
      <c r="H172" s="64" t="s">
        <v>44</v>
      </c>
      <c r="J172" s="128"/>
      <c r="K172" s="128"/>
      <c r="M172" s="128"/>
    </row>
    <row r="173" spans="6:13" ht="13.95" customHeight="1" x14ac:dyDescent="0.3">
      <c r="F173" s="43" t="s">
        <v>1054</v>
      </c>
      <c r="G173" s="122">
        <f>(G168+G166)*G127</f>
        <v>0</v>
      </c>
      <c r="H173" s="64" t="s">
        <v>44</v>
      </c>
      <c r="J173" s="128"/>
      <c r="K173" s="128"/>
      <c r="M173" s="128"/>
    </row>
    <row r="174" spans="6:13" ht="13.95" customHeight="1" x14ac:dyDescent="0.3">
      <c r="F174" s="43" t="s">
        <v>1055</v>
      </c>
      <c r="G174" s="122">
        <f>G167*G127</f>
        <v>0</v>
      </c>
      <c r="H174" s="64" t="s">
        <v>44</v>
      </c>
      <c r="J174" s="128"/>
      <c r="K174" s="128"/>
    </row>
    <row r="175" spans="6:13" ht="13.95" customHeight="1" x14ac:dyDescent="0.3">
      <c r="F175" s="43" t="s">
        <v>1056</v>
      </c>
      <c r="G175" s="122">
        <f>G164*G127</f>
        <v>0</v>
      </c>
      <c r="H175" s="64" t="s">
        <v>44</v>
      </c>
      <c r="J175" s="128"/>
      <c r="K175" s="128"/>
    </row>
    <row r="176" spans="6:13" ht="13.95" customHeight="1" x14ac:dyDescent="0.3">
      <c r="G176" s="66"/>
      <c r="H176" s="64"/>
    </row>
    <row r="177" spans="4:11" ht="13.95" customHeight="1" x14ac:dyDescent="0.3">
      <c r="D177" t="s">
        <v>1059</v>
      </c>
      <c r="G177" s="66"/>
      <c r="H177" s="64"/>
    </row>
    <row r="178" spans="4:11" ht="13.95" customHeight="1" x14ac:dyDescent="0.3">
      <c r="F178" s="64" t="str">
        <f xml:space="preserve"> F$110</f>
        <v>Aantal huishoudens gemeente (beschikbare data)</v>
      </c>
      <c r="G178" s="64">
        <f xml:space="preserve"> G$110</f>
        <v>60000</v>
      </c>
      <c r="H178" s="64" t="str">
        <f xml:space="preserve"> H$110</f>
        <v>huishoudens</v>
      </c>
    </row>
    <row r="179" spans="4:11" ht="13.95" customHeight="1" x14ac:dyDescent="0.3">
      <c r="F179" s="64" t="str">
        <f xml:space="preserve"> F$84</f>
        <v>Totaal aantal huishoudens dat kleinere selectie ontvangt</v>
      </c>
      <c r="G179" s="100">
        <f xml:space="preserve"> G$84</f>
        <v>616</v>
      </c>
      <c r="H179" s="64" t="str">
        <f xml:space="preserve"> H$84</f>
        <v>huishoudens</v>
      </c>
    </row>
    <row r="180" spans="4:11" ht="1.95" customHeight="1" x14ac:dyDescent="0.3">
      <c r="G180" s="66"/>
    </row>
    <row r="181" spans="4:11" ht="13.95" customHeight="1" x14ac:dyDescent="0.3">
      <c r="F181" s="64" t="str">
        <f xml:space="preserve"> F$117</f>
        <v>Aantal huishoudens Nee/Nee-sticker</v>
      </c>
      <c r="G181" s="64">
        <f xml:space="preserve"> G$117</f>
        <v>9000</v>
      </c>
      <c r="H181" s="64" t="str">
        <f xml:space="preserve"> H$117</f>
        <v>huishoudens</v>
      </c>
      <c r="K181" t="s">
        <v>1169</v>
      </c>
    </row>
    <row r="182" spans="4:11" ht="13.95" customHeight="1" x14ac:dyDescent="0.3">
      <c r="F182" s="64" t="str">
        <f xml:space="preserve"> F$118</f>
        <v>Aantal huishoudens Ja/Ja-sticker</v>
      </c>
      <c r="G182" s="64">
        <f xml:space="preserve"> G$118</f>
        <v>0</v>
      </c>
      <c r="H182" s="64" t="str">
        <f xml:space="preserve"> H$118</f>
        <v>huishoudens</v>
      </c>
    </row>
    <row r="183" spans="4:11" ht="13.95" customHeight="1" x14ac:dyDescent="0.3">
      <c r="F183" s="64" t="str">
        <f xml:space="preserve"> F$119</f>
        <v>Aantal huishoudens Nee/Ja-sticker</v>
      </c>
      <c r="G183" s="64">
        <f xml:space="preserve"> G$119</f>
        <v>15000</v>
      </c>
      <c r="H183" s="64" t="str">
        <f xml:space="preserve"> H$119</f>
        <v>huishoudens</v>
      </c>
    </row>
    <row r="184" spans="4:11" ht="13.95" customHeight="1" x14ac:dyDescent="0.3">
      <c r="F184" s="64" t="str">
        <f xml:space="preserve"> F$120</f>
        <v>Aantal huishoudens geen sticker</v>
      </c>
      <c r="G184" s="64">
        <f xml:space="preserve"> G$120</f>
        <v>36000</v>
      </c>
      <c r="H184" s="64" t="str">
        <f xml:space="preserve"> H$120</f>
        <v>huishoudens</v>
      </c>
    </row>
    <row r="185" spans="4:11" ht="1.95" customHeight="1" x14ac:dyDescent="0.3">
      <c r="G185" s="66"/>
    </row>
    <row r="186" spans="4:11" ht="13.95" customHeight="1" x14ac:dyDescent="0.3">
      <c r="F186" t="s">
        <v>442</v>
      </c>
      <c r="G186" s="67">
        <f>G181-G187</f>
        <v>8769</v>
      </c>
      <c r="H186" s="64" t="str">
        <f t="shared" ref="H186:H191" si="3" xml:space="preserve"> H$118</f>
        <v>huishoudens</v>
      </c>
      <c r="K186" t="s">
        <v>1170</v>
      </c>
    </row>
    <row r="187" spans="4:11" ht="13.95" customHeight="1" x14ac:dyDescent="0.3">
      <c r="F187" s="64" t="s">
        <v>441</v>
      </c>
      <c r="G187" s="66">
        <f>G181/(G181+G183)*G179</f>
        <v>231</v>
      </c>
      <c r="H187" s="64" t="str">
        <f t="shared" si="3"/>
        <v>huishoudens</v>
      </c>
    </row>
    <row r="188" spans="4:11" ht="13.95" customHeight="1" x14ac:dyDescent="0.3">
      <c r="F188" t="s">
        <v>443</v>
      </c>
      <c r="G188" s="66">
        <f>G182</f>
        <v>0</v>
      </c>
      <c r="H188" s="64" t="str">
        <f t="shared" si="3"/>
        <v>huishoudens</v>
      </c>
    </row>
    <row r="189" spans="4:11" ht="13.95" customHeight="1" x14ac:dyDescent="0.3">
      <c r="F189" t="s">
        <v>444</v>
      </c>
      <c r="G189" s="66">
        <f>G183-G190</f>
        <v>14615</v>
      </c>
      <c r="H189" s="64" t="str">
        <f t="shared" si="3"/>
        <v>huishoudens</v>
      </c>
    </row>
    <row r="190" spans="4:11" ht="13.95" customHeight="1" x14ac:dyDescent="0.3">
      <c r="F190" t="s">
        <v>445</v>
      </c>
      <c r="G190" s="66">
        <f>G183/(G181+G183)*G179</f>
        <v>385</v>
      </c>
      <c r="H190" s="64" t="str">
        <f t="shared" si="3"/>
        <v>huishoudens</v>
      </c>
    </row>
    <row r="191" spans="4:11" ht="13.95" customHeight="1" x14ac:dyDescent="0.3">
      <c r="F191" t="s">
        <v>446</v>
      </c>
      <c r="G191" s="66">
        <f>G184</f>
        <v>36000</v>
      </c>
      <c r="H191" s="64" t="str">
        <f t="shared" si="3"/>
        <v>huishoudens</v>
      </c>
    </row>
    <row r="192" spans="4:11" ht="1.95" customHeight="1" x14ac:dyDescent="0.3">
      <c r="G192" s="66"/>
      <c r="H192" s="64"/>
    </row>
    <row r="193" spans="4:11" ht="13.95" customHeight="1" x14ac:dyDescent="0.3">
      <c r="F193" s="43" t="s">
        <v>1052</v>
      </c>
      <c r="G193" s="122">
        <f>G186*G128</f>
        <v>8769</v>
      </c>
      <c r="H193" s="64" t="s">
        <v>44</v>
      </c>
      <c r="K193" t="s">
        <v>1174</v>
      </c>
    </row>
    <row r="194" spans="4:11" ht="13.95" customHeight="1" x14ac:dyDescent="0.3">
      <c r="F194" s="43" t="s">
        <v>1057</v>
      </c>
      <c r="G194" s="122">
        <f>(G188+G191)*G128</f>
        <v>36000</v>
      </c>
      <c r="H194" s="64" t="s">
        <v>44</v>
      </c>
    </row>
    <row r="195" spans="4:11" ht="13.95" customHeight="1" x14ac:dyDescent="0.3">
      <c r="F195" s="43" t="s">
        <v>1053</v>
      </c>
      <c r="G195" s="122">
        <v>0</v>
      </c>
      <c r="H195" s="64" t="s">
        <v>44</v>
      </c>
    </row>
    <row r="196" spans="4:11" ht="13.95" customHeight="1" x14ac:dyDescent="0.3">
      <c r="F196" s="43" t="s">
        <v>1054</v>
      </c>
      <c r="G196" s="122">
        <f>G189*G128</f>
        <v>14615</v>
      </c>
      <c r="H196" s="64" t="s">
        <v>44</v>
      </c>
    </row>
    <row r="197" spans="4:11" ht="13.95" customHeight="1" x14ac:dyDescent="0.3">
      <c r="F197" s="43" t="s">
        <v>1055</v>
      </c>
      <c r="G197" s="122">
        <f>G190*G128</f>
        <v>385</v>
      </c>
      <c r="H197" s="64" t="s">
        <v>44</v>
      </c>
    </row>
    <row r="198" spans="4:11" ht="13.95" customHeight="1" x14ac:dyDescent="0.3">
      <c r="F198" s="43" t="s">
        <v>1056</v>
      </c>
      <c r="G198" s="122">
        <f>G187*G128</f>
        <v>231</v>
      </c>
      <c r="H198" s="64" t="s">
        <v>44</v>
      </c>
      <c r="K198" s="66"/>
    </row>
    <row r="199" spans="4:11" ht="13.95" customHeight="1" x14ac:dyDescent="0.3">
      <c r="G199" s="66"/>
      <c r="H199" s="64"/>
    </row>
    <row r="200" spans="4:11" ht="13.95" customHeight="1" x14ac:dyDescent="0.3">
      <c r="F200" t="s">
        <v>1153</v>
      </c>
      <c r="G200" s="122">
        <f>G148+G149+G171+G172+G194+G195</f>
        <v>36000</v>
      </c>
      <c r="H200" s="64" t="s">
        <v>44</v>
      </c>
      <c r="K200" s="66"/>
    </row>
    <row r="201" spans="4:11" ht="13.95" customHeight="1" x14ac:dyDescent="0.3">
      <c r="F201" t="s">
        <v>1154</v>
      </c>
      <c r="G201" s="122">
        <f>G151+G152+G174+G175+G197+G198</f>
        <v>616</v>
      </c>
      <c r="H201" s="64" t="s">
        <v>44</v>
      </c>
    </row>
    <row r="202" spans="4:11" ht="13.95" customHeight="1" x14ac:dyDescent="0.3">
      <c r="F202" t="s">
        <v>1060</v>
      </c>
      <c r="G202" s="122">
        <f>G148+G150+G151+G171+G173+G174+G194+G196+G197</f>
        <v>51000</v>
      </c>
      <c r="H202" s="64" t="s">
        <v>44</v>
      </c>
    </row>
    <row r="203" spans="4:11" ht="13.95" customHeight="1" x14ac:dyDescent="0.3">
      <c r="G203" s="66"/>
    </row>
    <row r="204" spans="4:11" ht="13.95" customHeight="1" x14ac:dyDescent="0.3">
      <c r="D204" t="s">
        <v>1132</v>
      </c>
    </row>
    <row r="205" spans="4:11" ht="13.95" customHeight="1" x14ac:dyDescent="0.3">
      <c r="F205" s="64" t="str">
        <f xml:space="preserve"> F$200</f>
        <v>Aantal huishoudens dat ongeadresseerd, normaal ontvangt</v>
      </c>
      <c r="G205" s="67">
        <f xml:space="preserve"> G$200</f>
        <v>36000</v>
      </c>
      <c r="H205" s="64" t="str">
        <f xml:space="preserve"> H$200</f>
        <v>huishoudens</v>
      </c>
    </row>
    <row r="206" spans="4:11" ht="1.95" customHeight="1" x14ac:dyDescent="0.3">
      <c r="F206" s="64"/>
      <c r="G206" s="67"/>
      <c r="H206" s="64"/>
    </row>
    <row r="207" spans="4:11" ht="13.95" customHeight="1" x14ac:dyDescent="0.3">
      <c r="F207" s="46" t="str">
        <f xml:space="preserve"> Inputs!E$10</f>
        <v>Aantal gram per kilo</v>
      </c>
      <c r="G207" s="46">
        <f xml:space="preserve"> Inputs!F$10</f>
        <v>1000</v>
      </c>
      <c r="H207" s="46" t="str">
        <f xml:space="preserve"> Inputs!G$10</f>
        <v>gram / kilo</v>
      </c>
    </row>
    <row r="208" spans="4:11" ht="1.95" customHeight="1" x14ac:dyDescent="0.3">
      <c r="F208" s="64"/>
      <c r="G208" s="67"/>
      <c r="H208" s="64"/>
    </row>
    <row r="209" spans="6:10" ht="13.95" customHeight="1" x14ac:dyDescent="0.3">
      <c r="F209" s="64" t="str">
        <f xml:space="preserve"> F$73</f>
        <v>Wekelijkse gewicht aan folders (huishoudens niet aangemeld bij bijv. kiesjefolders.nl)</v>
      </c>
      <c r="G209" s="67">
        <f xml:space="preserve"> G$73</f>
        <v>500</v>
      </c>
      <c r="H209" s="64" t="str">
        <f xml:space="preserve"> H$73</f>
        <v>gram</v>
      </c>
    </row>
    <row r="210" spans="6:10" ht="13.95" customHeight="1" x14ac:dyDescent="0.3">
      <c r="F210" s="64" t="str">
        <f xml:space="preserve"> F$74</f>
        <v>Wekelijkse gewicht aan verpakking (huishoudens niet aangemeld bij bijv. kiesjefolders.nl)</v>
      </c>
      <c r="G210" s="67">
        <f xml:space="preserve"> G$74</f>
        <v>1.5</v>
      </c>
      <c r="H210" s="64" t="str">
        <f xml:space="preserve"> H$74</f>
        <v>gram</v>
      </c>
    </row>
    <row r="211" spans="6:10" ht="1.95" customHeight="1" x14ac:dyDescent="0.3"/>
    <row r="212" spans="6:10" ht="13.95" customHeight="1" x14ac:dyDescent="0.3">
      <c r="F212" s="64" t="str">
        <f xml:space="preserve"> F$78</f>
        <v>% van papier ongeadresseerde reclame uit gerecycled materiaal</v>
      </c>
      <c r="G212" s="100">
        <f xml:space="preserve"> G$78</f>
        <v>1</v>
      </c>
      <c r="H212" s="64" t="str">
        <f xml:space="preserve"> H$78</f>
        <v>%</v>
      </c>
    </row>
    <row r="213" spans="6:10" ht="13.95" customHeight="1" x14ac:dyDescent="0.3">
      <c r="F213" s="46" t="str">
        <f xml:space="preserve"> Inputs!E$23</f>
        <v>% van plastic ongeadresseerd uit recycled materiaal</v>
      </c>
      <c r="G213" s="46">
        <f xml:space="preserve"> Inputs!F$23</f>
        <v>0</v>
      </c>
      <c r="H213" s="46" t="str">
        <f xml:space="preserve"> Inputs!G$23</f>
        <v>%</v>
      </c>
    </row>
    <row r="214" spans="6:10" ht="1.95" customHeight="1" x14ac:dyDescent="0.3">
      <c r="F214" s="46"/>
      <c r="G214" s="46"/>
      <c r="H214" s="46"/>
    </row>
    <row r="215" spans="6:10" ht="13.95" customHeight="1" x14ac:dyDescent="0.3">
      <c r="F215" s="68" t="s">
        <v>1133</v>
      </c>
      <c r="G215" s="73">
        <f>G205*G209*(1-G212)/G207</f>
        <v>0</v>
      </c>
      <c r="H215" s="68" t="s">
        <v>457</v>
      </c>
      <c r="I215" s="66"/>
      <c r="J215" s="66"/>
    </row>
    <row r="216" spans="6:10" ht="13.95" customHeight="1" x14ac:dyDescent="0.3">
      <c r="F216" s="68" t="s">
        <v>1134</v>
      </c>
      <c r="G216" s="73">
        <f>G205*G209*G212/G207</f>
        <v>18000</v>
      </c>
      <c r="H216" s="68" t="s">
        <v>457</v>
      </c>
      <c r="I216" s="66"/>
    </row>
    <row r="217" spans="6:10" ht="13.95" customHeight="1" x14ac:dyDescent="0.3">
      <c r="F217" s="68" t="s">
        <v>1135</v>
      </c>
      <c r="G217" s="66">
        <f>G205*G210*(1-G213)/G207</f>
        <v>54</v>
      </c>
      <c r="H217" s="68" t="s">
        <v>457</v>
      </c>
      <c r="I217" s="66"/>
    </row>
    <row r="218" spans="6:10" ht="13.95" customHeight="1" x14ac:dyDescent="0.3">
      <c r="F218" s="68" t="s">
        <v>1136</v>
      </c>
      <c r="G218" s="73">
        <f>G205*G210*G213/G207</f>
        <v>0</v>
      </c>
      <c r="H218" s="68" t="s">
        <v>457</v>
      </c>
      <c r="I218" s="66"/>
    </row>
    <row r="219" spans="6:10" ht="1.95" customHeight="1" x14ac:dyDescent="0.3">
      <c r="F219" s="68"/>
      <c r="G219" s="73"/>
      <c r="H219" s="68"/>
    </row>
    <row r="220" spans="6:10" ht="13.95" customHeight="1" x14ac:dyDescent="0.3">
      <c r="F220" s="46" t="str">
        <f xml:space="preserve"> Inputs!E$11</f>
        <v>Aantal weken per jaar</v>
      </c>
      <c r="G220" s="46">
        <f xml:space="preserve"> Inputs!F$11</f>
        <v>52</v>
      </c>
      <c r="H220" s="46" t="str">
        <f xml:space="preserve"> Inputs!G$11</f>
        <v>weken / jaar</v>
      </c>
    </row>
    <row r="221" spans="6:10" ht="1.95" customHeight="1" x14ac:dyDescent="0.3">
      <c r="F221" s="68"/>
      <c r="G221" s="73"/>
      <c r="H221" s="68"/>
    </row>
    <row r="222" spans="6:10" ht="13.95" customHeight="1" x14ac:dyDescent="0.3">
      <c r="F222" s="68" t="s">
        <v>1137</v>
      </c>
      <c r="G222" s="73">
        <f>G215*$G$220</f>
        <v>0</v>
      </c>
      <c r="H222" s="68" t="s">
        <v>456</v>
      </c>
      <c r="J222" s="201"/>
    </row>
    <row r="223" spans="6:10" ht="13.95" customHeight="1" x14ac:dyDescent="0.3">
      <c r="F223" s="68" t="s">
        <v>1138</v>
      </c>
      <c r="G223" s="73">
        <f>G216*$G$220</f>
        <v>936000</v>
      </c>
      <c r="H223" s="68" t="s">
        <v>456</v>
      </c>
      <c r="J223" s="201"/>
    </row>
    <row r="224" spans="6:10" ht="13.95" customHeight="1" x14ac:dyDescent="0.3">
      <c r="F224" s="68" t="s">
        <v>1139</v>
      </c>
      <c r="G224" s="73">
        <f>G217*$G$220</f>
        <v>2808</v>
      </c>
      <c r="H224" s="68" t="s">
        <v>456</v>
      </c>
    </row>
    <row r="225" spans="4:10" ht="13.95" customHeight="1" x14ac:dyDescent="0.3">
      <c r="F225" s="68" t="s">
        <v>1140</v>
      </c>
      <c r="G225" s="73">
        <f>G218*$G$220</f>
        <v>0</v>
      </c>
      <c r="H225" s="68" t="s">
        <v>456</v>
      </c>
    </row>
    <row r="226" spans="4:10" ht="13.95" customHeight="1" x14ac:dyDescent="0.3">
      <c r="F226" s="46"/>
      <c r="G226" s="46"/>
      <c r="H226" s="46"/>
    </row>
    <row r="227" spans="4:10" ht="13.95" customHeight="1" x14ac:dyDescent="0.3">
      <c r="D227" t="s">
        <v>1141</v>
      </c>
    </row>
    <row r="228" spans="4:10" ht="13.95" customHeight="1" x14ac:dyDescent="0.3">
      <c r="F228" s="64" t="str">
        <f xml:space="preserve"> F$201</f>
        <v>Aantal huishoudens dat geadresseerde selectie ontvangt</v>
      </c>
      <c r="G228" s="67">
        <f xml:space="preserve"> G$201</f>
        <v>616</v>
      </c>
      <c r="H228" s="64" t="str">
        <f xml:space="preserve"> H$201</f>
        <v>huishoudens</v>
      </c>
    </row>
    <row r="229" spans="4:10" ht="1.95" customHeight="1" x14ac:dyDescent="0.3">
      <c r="F229" s="64"/>
      <c r="G229" s="67"/>
      <c r="H229" s="64"/>
    </row>
    <row r="230" spans="4:10" ht="13.95" customHeight="1" x14ac:dyDescent="0.3">
      <c r="F230" s="46" t="str">
        <f xml:space="preserve"> Inputs!E$10</f>
        <v>Aantal gram per kilo</v>
      </c>
      <c r="G230" s="46">
        <f xml:space="preserve"> Inputs!F$10</f>
        <v>1000</v>
      </c>
      <c r="H230" s="46" t="str">
        <f xml:space="preserve"> Inputs!G$10</f>
        <v>gram / kilo</v>
      </c>
    </row>
    <row r="231" spans="4:10" ht="1.95" customHeight="1" x14ac:dyDescent="0.3"/>
    <row r="232" spans="4:10" ht="13.95" customHeight="1" x14ac:dyDescent="0.3">
      <c r="F232" s="46" t="str">
        <f xml:space="preserve"> Inputs!E$20</f>
        <v>Gemiddelde wekelijkse gewicht aan reclamefolders (met aanmelding Kiesjefolders.nl) - papier</v>
      </c>
      <c r="G232" s="46">
        <f xml:space="preserve"> Inputs!F$20</f>
        <v>112</v>
      </c>
      <c r="H232" s="46" t="str">
        <f xml:space="preserve"> Inputs!G$20</f>
        <v>gram / week</v>
      </c>
    </row>
    <row r="233" spans="4:10" ht="13.95" customHeight="1" x14ac:dyDescent="0.3">
      <c r="F233" s="46" t="str">
        <f xml:space="preserve"> Inputs!E$21</f>
        <v>Gemiddelde wekelijkse gewicht aan reclamefolders (met aanmelding Kiesjefolders.nl) - plastic</v>
      </c>
      <c r="G233" s="46">
        <f xml:space="preserve"> Inputs!F$21</f>
        <v>5</v>
      </c>
      <c r="H233" s="46" t="str">
        <f xml:space="preserve"> Inputs!G$21</f>
        <v>gram / week</v>
      </c>
    </row>
    <row r="234" spans="4:10" ht="1.95" customHeight="1" x14ac:dyDescent="0.3"/>
    <row r="235" spans="4:10" ht="13.95" customHeight="1" x14ac:dyDescent="0.3">
      <c r="F235" s="64" t="str">
        <f xml:space="preserve"> F$78</f>
        <v>% van papier ongeadresseerde reclame uit gerecycled materiaal</v>
      </c>
      <c r="G235" s="199">
        <f xml:space="preserve"> G$78</f>
        <v>1</v>
      </c>
      <c r="H235" s="64" t="str">
        <f xml:space="preserve"> H$78</f>
        <v>%</v>
      </c>
    </row>
    <row r="236" spans="4:10" ht="13.95" customHeight="1" x14ac:dyDescent="0.3">
      <c r="F236" s="46" t="str">
        <f xml:space="preserve"> Inputs!E$23</f>
        <v>% van plastic ongeadresseerd uit recycled materiaal</v>
      </c>
      <c r="G236" s="46">
        <f xml:space="preserve"> Inputs!F$23</f>
        <v>0</v>
      </c>
      <c r="H236" s="46" t="str">
        <f xml:space="preserve"> Inputs!G$23</f>
        <v>%</v>
      </c>
    </row>
    <row r="237" spans="4:10" ht="1.95" customHeight="1" x14ac:dyDescent="0.3">
      <c r="F237" s="46"/>
      <c r="G237" s="46"/>
      <c r="H237" s="46"/>
    </row>
    <row r="238" spans="4:10" ht="13.95" customHeight="1" x14ac:dyDescent="0.3">
      <c r="F238" s="68" t="s">
        <v>1603</v>
      </c>
      <c r="G238" s="73">
        <f>G228*G232*(1-G235)/G230</f>
        <v>0</v>
      </c>
      <c r="H238" s="68" t="s">
        <v>457</v>
      </c>
    </row>
    <row r="239" spans="4:10" ht="13.95" customHeight="1" x14ac:dyDescent="0.3">
      <c r="F239" s="68" t="s">
        <v>1604</v>
      </c>
      <c r="G239" s="73">
        <f>G228*G232*G235/G230</f>
        <v>68.992000000000004</v>
      </c>
      <c r="H239" s="68" t="s">
        <v>457</v>
      </c>
      <c r="J239" s="200"/>
    </row>
    <row r="240" spans="4:10" ht="13.95" customHeight="1" x14ac:dyDescent="0.3">
      <c r="F240" s="68" t="s">
        <v>1144</v>
      </c>
      <c r="G240" s="66">
        <f>G228*G233*(1-G236)/G230</f>
        <v>3.08</v>
      </c>
      <c r="H240" s="68" t="s">
        <v>457</v>
      </c>
    </row>
    <row r="241" spans="5:10" ht="13.95" customHeight="1" x14ac:dyDescent="0.3">
      <c r="F241" s="68" t="s">
        <v>1145</v>
      </c>
      <c r="G241" s="73">
        <f>G228*G233*G236/G230</f>
        <v>0</v>
      </c>
      <c r="H241" s="68" t="s">
        <v>457</v>
      </c>
    </row>
    <row r="242" spans="5:10" ht="1.95" customHeight="1" x14ac:dyDescent="0.3">
      <c r="F242" s="68"/>
      <c r="G242" s="73"/>
      <c r="H242" s="68"/>
    </row>
    <row r="243" spans="5:10" ht="13.95" customHeight="1" x14ac:dyDescent="0.3">
      <c r="F243" s="46" t="str">
        <f xml:space="preserve"> Inputs!E$11</f>
        <v>Aantal weken per jaar</v>
      </c>
      <c r="G243" s="46">
        <f xml:space="preserve"> Inputs!F$11</f>
        <v>52</v>
      </c>
      <c r="H243" s="46" t="str">
        <f xml:space="preserve"> Inputs!G$11</f>
        <v>weken / jaar</v>
      </c>
    </row>
    <row r="244" spans="5:10" ht="1.95" customHeight="1" x14ac:dyDescent="0.3">
      <c r="F244" s="68"/>
      <c r="G244" s="73"/>
      <c r="H244" s="68"/>
    </row>
    <row r="245" spans="5:10" ht="13.95" customHeight="1" x14ac:dyDescent="0.3">
      <c r="F245" s="68" t="s">
        <v>1605</v>
      </c>
      <c r="G245" s="73">
        <f>G238*$G$243</f>
        <v>0</v>
      </c>
      <c r="H245" s="68" t="s">
        <v>456</v>
      </c>
      <c r="J245" s="201"/>
    </row>
    <row r="246" spans="5:10" ht="13.95" customHeight="1" x14ac:dyDescent="0.3">
      <c r="F246" s="68" t="s">
        <v>1606</v>
      </c>
      <c r="G246" s="73">
        <f t="shared" ref="G246:G248" si="4">G239*$G$243</f>
        <v>3587.5840000000003</v>
      </c>
      <c r="H246" s="68" t="s">
        <v>456</v>
      </c>
      <c r="J246" s="201"/>
    </row>
    <row r="247" spans="5:10" ht="13.95" customHeight="1" x14ac:dyDescent="0.3">
      <c r="F247" s="68" t="s">
        <v>1148</v>
      </c>
      <c r="G247" s="73">
        <f t="shared" si="4"/>
        <v>160.16</v>
      </c>
      <c r="H247" s="68" t="s">
        <v>456</v>
      </c>
    </row>
    <row r="248" spans="5:10" ht="13.95" customHeight="1" x14ac:dyDescent="0.3">
      <c r="F248" s="68" t="s">
        <v>1149</v>
      </c>
      <c r="G248" s="73">
        <f t="shared" si="4"/>
        <v>0</v>
      </c>
      <c r="H248" s="68" t="s">
        <v>456</v>
      </c>
    </row>
    <row r="249" spans="5:10" ht="13.95" customHeight="1" x14ac:dyDescent="0.3"/>
    <row r="250" spans="5:10" ht="13.95" customHeight="1" x14ac:dyDescent="0.3">
      <c r="E250" s="53" t="s">
        <v>1150</v>
      </c>
    </row>
    <row r="251" spans="5:10" ht="13.95" customHeight="1" x14ac:dyDescent="0.3">
      <c r="F251" s="64" t="str">
        <f xml:space="preserve"> F$222</f>
        <v>Jaarlijkse gewicht virgin ong. recl., ongeadresseerd normaal (kg)</v>
      </c>
      <c r="G251" s="67">
        <f xml:space="preserve"> G$222</f>
        <v>0</v>
      </c>
      <c r="H251" s="64" t="str">
        <f xml:space="preserve"> H$222</f>
        <v>kg / jaar</v>
      </c>
      <c r="J251" s="66">
        <v>400291.01018935081</v>
      </c>
    </row>
    <row r="252" spans="5:10" ht="13.95" customHeight="1" x14ac:dyDescent="0.3">
      <c r="F252" s="64" t="str">
        <f xml:space="preserve"> F$223</f>
        <v>Jaarlijkse gewicht recycled ong. recl., ongeadresseerd normaal (kg)</v>
      </c>
      <c r="G252" s="67">
        <f xml:space="preserve"> G$223</f>
        <v>936000</v>
      </c>
      <c r="H252" s="64" t="str">
        <f xml:space="preserve"> H$223</f>
        <v>kg / jaar</v>
      </c>
      <c r="J252" s="66">
        <f>SUM(G251:G252)</f>
        <v>936000</v>
      </c>
    </row>
    <row r="253" spans="5:10" ht="13.95" customHeight="1" x14ac:dyDescent="0.3">
      <c r="F253" s="64" t="str">
        <f xml:space="preserve"> F$224</f>
        <v>Jaarlijkse gewicht virgin plastic, ongeadresseerd normaal (kg)</v>
      </c>
      <c r="G253" s="67">
        <f xml:space="preserve"> G$224</f>
        <v>2808</v>
      </c>
      <c r="H253" s="64" t="str">
        <f xml:space="preserve"> H$224</f>
        <v>kg / jaar</v>
      </c>
    </row>
    <row r="254" spans="5:10" ht="13.95" customHeight="1" x14ac:dyDescent="0.3">
      <c r="F254" s="64" t="str">
        <f xml:space="preserve"> F$225</f>
        <v>Jaarlijkse gewicht recycled plastic, ongeadresseerd normaal (kg)</v>
      </c>
      <c r="G254" s="67">
        <f xml:space="preserve"> G$225</f>
        <v>0</v>
      </c>
      <c r="H254" s="64" t="str">
        <f xml:space="preserve"> H$225</f>
        <v>kg / jaar</v>
      </c>
    </row>
    <row r="255" spans="5:10" ht="1.95" customHeight="1" x14ac:dyDescent="0.3"/>
    <row r="256" spans="5:10" ht="13.95" customHeight="1" x14ac:dyDescent="0.3">
      <c r="F256" s="64" t="str">
        <f xml:space="preserve"> F$245</f>
        <v>Jaarlijkse gewicht virgin, geadresseerd selectie (kg)</v>
      </c>
      <c r="G256" s="67">
        <f xml:space="preserve"> G$245</f>
        <v>0</v>
      </c>
      <c r="H256" s="64" t="str">
        <f xml:space="preserve"> H$245</f>
        <v>kg / jaar</v>
      </c>
      <c r="J256" s="66">
        <v>3902.08</v>
      </c>
    </row>
    <row r="257" spans="4:12" ht="13.95" customHeight="1" x14ac:dyDescent="0.3">
      <c r="F257" s="64" t="str">
        <f xml:space="preserve"> F$246</f>
        <v>Jaarlijkse gewicht recycled, geadresseerd selectie (kg)</v>
      </c>
      <c r="G257" s="67">
        <f xml:space="preserve"> G$246</f>
        <v>3587.5840000000003</v>
      </c>
      <c r="H257" s="64" t="str">
        <f xml:space="preserve"> H$246</f>
        <v>kg / jaar</v>
      </c>
      <c r="J257" s="66">
        <f>SUM(G256:G257)</f>
        <v>3587.5840000000003</v>
      </c>
    </row>
    <row r="258" spans="4:12" ht="13.95" customHeight="1" x14ac:dyDescent="0.3">
      <c r="F258" s="64" t="str">
        <f xml:space="preserve"> F$247</f>
        <v>Jaarlijkse gewicht virgin plastic, geadresseerd selectie (kg)</v>
      </c>
      <c r="G258" s="67">
        <f xml:space="preserve"> G$247</f>
        <v>160.16</v>
      </c>
      <c r="H258" s="64" t="str">
        <f xml:space="preserve"> H$247</f>
        <v>kg / jaar</v>
      </c>
    </row>
    <row r="259" spans="4:12" ht="13.95" customHeight="1" x14ac:dyDescent="0.3">
      <c r="F259" s="64" t="str">
        <f xml:space="preserve"> F$248</f>
        <v>Jaarlijkse gewicht recycled plastic, geadresseerd selectie (kg)</v>
      </c>
      <c r="G259" s="67">
        <f xml:space="preserve"> G$248</f>
        <v>0</v>
      </c>
      <c r="H259" s="64" t="str">
        <f xml:space="preserve"> H$248</f>
        <v>kg / jaar</v>
      </c>
    </row>
    <row r="260" spans="4:12" ht="1.95" customHeight="1" x14ac:dyDescent="0.3">
      <c r="F260" s="64"/>
      <c r="G260" s="67"/>
      <c r="H260" s="64"/>
    </row>
    <row r="261" spans="4:12" ht="13.95" customHeight="1" x14ac:dyDescent="0.3">
      <c r="F261" s="64" t="str">
        <f xml:space="preserve"> F$296</f>
        <v>Jaarlijkse gewicht opslag lokale folders (kg), recycled</v>
      </c>
      <c r="G261" s="127">
        <f xml:space="preserve"> G$296</f>
        <v>55598.379200000003</v>
      </c>
      <c r="H261" s="64" t="str">
        <f xml:space="preserve"> H$296</f>
        <v>kg / jaar</v>
      </c>
      <c r="J261" s="186">
        <v>43268.827177702944</v>
      </c>
    </row>
    <row r="262" spans="4:12" ht="1.95" customHeight="1" x14ac:dyDescent="0.3">
      <c r="J262" s="43"/>
    </row>
    <row r="263" spans="4:12" ht="13.95" customHeight="1" x14ac:dyDescent="0.3">
      <c r="F263" t="s">
        <v>902</v>
      </c>
      <c r="G263" s="66">
        <f>G251+G256</f>
        <v>0</v>
      </c>
      <c r="H263" s="64" t="str">
        <f xml:space="preserve"> H$245</f>
        <v>kg / jaar</v>
      </c>
      <c r="J263" s="122">
        <v>451067.65296519559</v>
      </c>
      <c r="K263" s="43"/>
      <c r="L263" s="43"/>
    </row>
    <row r="264" spans="4:12" ht="13.95" customHeight="1" x14ac:dyDescent="0.3">
      <c r="F264" t="s">
        <v>903</v>
      </c>
      <c r="G264" s="66">
        <f>G252+G257+G261</f>
        <v>995185.9632</v>
      </c>
      <c r="H264" s="64" t="str">
        <f xml:space="preserve"> H$246</f>
        <v>kg / jaar</v>
      </c>
      <c r="J264" s="122">
        <f>SUM(G263:G264)</f>
        <v>995185.9632</v>
      </c>
      <c r="K264" s="43"/>
      <c r="L264" s="43"/>
    </row>
    <row r="265" spans="4:12" ht="13.95" customHeight="1" x14ac:dyDescent="0.3">
      <c r="F265" t="s">
        <v>900</v>
      </c>
      <c r="G265" s="66">
        <f>G253+G258</f>
        <v>2968.16</v>
      </c>
      <c r="H265" s="64" t="str">
        <f xml:space="preserve"> H$247</f>
        <v>kg / jaar</v>
      </c>
      <c r="J265" s="43"/>
      <c r="K265" s="43"/>
      <c r="L265" s="43"/>
    </row>
    <row r="266" spans="4:12" ht="13.95" customHeight="1" x14ac:dyDescent="0.3">
      <c r="F266" t="s">
        <v>901</v>
      </c>
      <c r="G266" s="66">
        <f>G254+G259</f>
        <v>0</v>
      </c>
      <c r="H266" s="64" t="str">
        <f xml:space="preserve"> H$248</f>
        <v>kg / jaar</v>
      </c>
      <c r="J266" s="43"/>
      <c r="K266" s="43"/>
      <c r="L266" s="43"/>
    </row>
    <row r="267" spans="4:12" ht="13.95" customHeight="1" x14ac:dyDescent="0.3">
      <c r="J267" s="43"/>
      <c r="K267" s="43"/>
      <c r="L267" s="43"/>
    </row>
    <row r="268" spans="4:12" ht="13.95" customHeight="1" x14ac:dyDescent="0.3">
      <c r="D268" t="s">
        <v>448</v>
      </c>
    </row>
    <row r="269" spans="4:12" ht="13.95" customHeight="1" x14ac:dyDescent="0.3">
      <c r="F269" s="64" t="str">
        <f xml:space="preserve"> F$202</f>
        <v>Aantal huishoudens dat HAH ontvangt</v>
      </c>
      <c r="G269" s="67">
        <f xml:space="preserve"> G$202</f>
        <v>51000</v>
      </c>
      <c r="H269" s="64" t="str">
        <f xml:space="preserve"> H$202</f>
        <v>huishoudens</v>
      </c>
    </row>
    <row r="270" spans="4:12" ht="1.95" customHeight="1" x14ac:dyDescent="0.3">
      <c r="F270" s="64"/>
      <c r="G270" s="67"/>
      <c r="H270" s="64"/>
    </row>
    <row r="271" spans="4:12" ht="13.95" customHeight="1" x14ac:dyDescent="0.3">
      <c r="F271" s="46" t="str">
        <f xml:space="preserve"> Inputs!E$10</f>
        <v>Aantal gram per kilo</v>
      </c>
      <c r="G271" s="46">
        <f xml:space="preserve"> Inputs!F$10</f>
        <v>1000</v>
      </c>
      <c r="H271" s="46" t="str">
        <f xml:space="preserve"> Inputs!G$10</f>
        <v>gram / kilo</v>
      </c>
    </row>
    <row r="272" spans="4:12" ht="1.95" customHeight="1" x14ac:dyDescent="0.3"/>
    <row r="273" spans="6:8" ht="13.95" customHeight="1" x14ac:dyDescent="0.3">
      <c r="F273" s="64" t="str">
        <f xml:space="preserve"> F$75</f>
        <v>Wekelijkse gewicht huis-aan-huisbladen</v>
      </c>
      <c r="G273" s="64">
        <f xml:space="preserve"> G$75</f>
        <v>65</v>
      </c>
      <c r="H273" s="64" t="str">
        <f xml:space="preserve"> H$75</f>
        <v>gram</v>
      </c>
    </row>
    <row r="274" spans="6:8" ht="13.95" customHeight="1" x14ac:dyDescent="0.3">
      <c r="F274" s="64" t="str">
        <f xml:space="preserve"> F$106</f>
        <v>Additioneel gewicht HAH in toekomstig systeem, City</v>
      </c>
      <c r="G274" s="64">
        <f xml:space="preserve"> G$106</f>
        <v>0</v>
      </c>
      <c r="H274" s="64" t="str">
        <f xml:space="preserve"> H$106</f>
        <v>gram / week</v>
      </c>
    </row>
    <row r="275" spans="6:8" ht="13.95" customHeight="1" x14ac:dyDescent="0.3">
      <c r="F275" s="64" t="str">
        <f xml:space="preserve"> F$76</f>
        <v>Wekelijkse gewicht aan verpakking huis-aan-huisbladen</v>
      </c>
      <c r="G275" s="64">
        <f xml:space="preserve"> G$76</f>
        <v>0</v>
      </c>
      <c r="H275" s="64" t="str">
        <f xml:space="preserve"> H$76</f>
        <v>gram</v>
      </c>
    </row>
    <row r="276" spans="6:8" ht="1.95" customHeight="1" x14ac:dyDescent="0.3"/>
    <row r="277" spans="6:8" ht="13.95" customHeight="1" x14ac:dyDescent="0.3">
      <c r="F277" s="64" t="str">
        <f xml:space="preserve"> F$79</f>
        <v>% van papier huis-aan-huisbladen uit gerecycled materiaal</v>
      </c>
      <c r="G277" s="100">
        <f xml:space="preserve"> G$79</f>
        <v>1</v>
      </c>
      <c r="H277" s="64" t="str">
        <f xml:space="preserve"> H$79</f>
        <v>%</v>
      </c>
    </row>
    <row r="278" spans="6:8" ht="13.95" customHeight="1" x14ac:dyDescent="0.3">
      <c r="F278" s="46" t="str">
        <f xml:space="preserve"> Inputs!E$25</f>
        <v>% van plastic huis-aan-huis uit recycled materiaal</v>
      </c>
      <c r="G278" s="48">
        <f xml:space="preserve"> Inputs!F$25</f>
        <v>0</v>
      </c>
      <c r="H278" s="46" t="str">
        <f xml:space="preserve"> Inputs!G$25</f>
        <v>%</v>
      </c>
    </row>
    <row r="279" spans="6:8" ht="1.95" customHeight="1" x14ac:dyDescent="0.3">
      <c r="F279" s="46"/>
      <c r="G279" s="46"/>
      <c r="H279" s="46"/>
    </row>
    <row r="280" spans="6:8" ht="13.95" customHeight="1" x14ac:dyDescent="0.3">
      <c r="F280" s="68" t="s">
        <v>459</v>
      </c>
      <c r="G280" s="73">
        <f>G269*(G273+G274)*(1-G277)/G271</f>
        <v>0</v>
      </c>
      <c r="H280" s="68" t="s">
        <v>457</v>
      </c>
    </row>
    <row r="281" spans="6:8" ht="13.95" customHeight="1" x14ac:dyDescent="0.3">
      <c r="F281" s="68" t="s">
        <v>460</v>
      </c>
      <c r="G281" s="73">
        <f>G269*(G273+G274)*G277/G271</f>
        <v>3315</v>
      </c>
      <c r="H281" s="68" t="s">
        <v>457</v>
      </c>
    </row>
    <row r="282" spans="6:8" ht="13.95" customHeight="1" x14ac:dyDescent="0.3">
      <c r="F282" s="68" t="s">
        <v>461</v>
      </c>
      <c r="G282" s="66">
        <f>G269*G275*(1-G278)/G271</f>
        <v>0</v>
      </c>
      <c r="H282" s="68" t="s">
        <v>457</v>
      </c>
    </row>
    <row r="283" spans="6:8" ht="13.95" customHeight="1" x14ac:dyDescent="0.3">
      <c r="F283" s="68" t="s">
        <v>462</v>
      </c>
      <c r="G283" s="73">
        <f>G269*G275*G278/G271</f>
        <v>0</v>
      </c>
      <c r="H283" s="68" t="s">
        <v>457</v>
      </c>
    </row>
    <row r="284" spans="6:8" ht="1.95" customHeight="1" x14ac:dyDescent="0.3">
      <c r="F284" s="68"/>
      <c r="G284" s="73"/>
      <c r="H284" s="68"/>
    </row>
    <row r="285" spans="6:8" ht="13.95" customHeight="1" x14ac:dyDescent="0.3">
      <c r="F285" s="46" t="str">
        <f xml:space="preserve"> Inputs!E$11</f>
        <v>Aantal weken per jaar</v>
      </c>
      <c r="G285" s="46">
        <f xml:space="preserve"> Inputs!F$11</f>
        <v>52</v>
      </c>
      <c r="H285" s="46" t="str">
        <f xml:space="preserve"> Inputs!G$11</f>
        <v>weken / jaar</v>
      </c>
    </row>
    <row r="286" spans="6:8" ht="1.95" customHeight="1" x14ac:dyDescent="0.3">
      <c r="F286" s="68"/>
      <c r="G286" s="73"/>
      <c r="H286" s="68"/>
    </row>
    <row r="287" spans="6:8" ht="13.95" customHeight="1" x14ac:dyDescent="0.3">
      <c r="F287" s="68" t="s">
        <v>463</v>
      </c>
      <c r="G287" s="73">
        <f>G280*$G$285</f>
        <v>0</v>
      </c>
      <c r="H287" s="68" t="s">
        <v>456</v>
      </c>
    </row>
    <row r="288" spans="6:8" ht="13.95" customHeight="1" x14ac:dyDescent="0.3">
      <c r="F288" s="68" t="s">
        <v>464</v>
      </c>
      <c r="G288" s="73">
        <f t="shared" ref="G288:G290" si="5">G281*$G$285</f>
        <v>172380</v>
      </c>
      <c r="H288" s="68" t="s">
        <v>456</v>
      </c>
    </row>
    <row r="289" spans="4:10" ht="13.95" customHeight="1" x14ac:dyDescent="0.3">
      <c r="F289" s="68" t="s">
        <v>465</v>
      </c>
      <c r="G289" s="73">
        <f t="shared" si="5"/>
        <v>0</v>
      </c>
      <c r="H289" s="68" t="s">
        <v>456</v>
      </c>
    </row>
    <row r="290" spans="4:10" ht="13.95" customHeight="1" x14ac:dyDescent="0.3">
      <c r="F290" s="68" t="s">
        <v>466</v>
      </c>
      <c r="G290" s="73">
        <f t="shared" si="5"/>
        <v>0</v>
      </c>
      <c r="H290" s="68" t="s">
        <v>456</v>
      </c>
      <c r="J290" s="43"/>
    </row>
    <row r="291" spans="4:10" ht="13.95" customHeight="1" x14ac:dyDescent="0.3">
      <c r="J291" s="43"/>
    </row>
    <row r="292" spans="4:10" ht="13.95" customHeight="1" x14ac:dyDescent="0.3">
      <c r="D292" t="s">
        <v>1571</v>
      </c>
      <c r="J292" s="43"/>
    </row>
    <row r="293" spans="4:10" ht="13.95" customHeight="1" x14ac:dyDescent="0.3">
      <c r="F293" s="46" t="str">
        <f xml:space="preserve"> Inputs!E$27</f>
        <v>Opslag lokale folders</v>
      </c>
      <c r="G293" s="48">
        <f xml:space="preserve"> Inputs!F$27</f>
        <v>0.05</v>
      </c>
      <c r="H293" s="46" t="str">
        <f xml:space="preserve"> Inputs!G$27</f>
        <v>%</v>
      </c>
      <c r="J293" s="43"/>
    </row>
    <row r="294" spans="4:10" ht="13.95" customHeight="1" x14ac:dyDescent="0.3">
      <c r="F294" t="s">
        <v>1572</v>
      </c>
      <c r="G294" s="128">
        <f>G302+G303+G307+G308+G312+G313</f>
        <v>1111967.584</v>
      </c>
      <c r="H294" t="s">
        <v>1573</v>
      </c>
      <c r="J294" s="43"/>
    </row>
    <row r="295" spans="4:10" ht="1.95" customHeight="1" x14ac:dyDescent="0.3">
      <c r="G295" s="128"/>
      <c r="J295" s="43"/>
    </row>
    <row r="296" spans="4:10" ht="13.95" customHeight="1" x14ac:dyDescent="0.3">
      <c r="F296" t="s">
        <v>1574</v>
      </c>
      <c r="G296" s="128">
        <f>G293*G294</f>
        <v>55598.379200000003</v>
      </c>
      <c r="H296" t="s">
        <v>456</v>
      </c>
      <c r="J296" s="43"/>
    </row>
    <row r="297" spans="4:10" ht="13.95" customHeight="1" x14ac:dyDescent="0.3">
      <c r="F297" s="46" t="str">
        <f xml:space="preserve"> Inputs!E$11</f>
        <v>Aantal weken per jaar</v>
      </c>
      <c r="G297" s="46">
        <f xml:space="preserve"> Inputs!F$11</f>
        <v>52</v>
      </c>
      <c r="H297" s="46" t="str">
        <f xml:space="preserve"> Inputs!G$11</f>
        <v>weken / jaar</v>
      </c>
      <c r="J297" s="43"/>
    </row>
    <row r="298" spans="4:10" ht="1.95" customHeight="1" x14ac:dyDescent="0.3">
      <c r="G298" s="128"/>
      <c r="J298" s="43"/>
    </row>
    <row r="299" spans="4:10" ht="13.95" customHeight="1" x14ac:dyDescent="0.3">
      <c r="F299" t="s">
        <v>1581</v>
      </c>
      <c r="G299" s="128">
        <f>G296/G297</f>
        <v>1069.1996000000001</v>
      </c>
      <c r="H299" t="s">
        <v>457</v>
      </c>
      <c r="J299" s="43"/>
    </row>
    <row r="300" spans="4:10" ht="13.95" customHeight="1" x14ac:dyDescent="0.3">
      <c r="J300" s="43"/>
    </row>
    <row r="301" spans="4:10" ht="13.95" customHeight="1" x14ac:dyDescent="0.3">
      <c r="D301" t="s">
        <v>489</v>
      </c>
      <c r="J301" s="43"/>
    </row>
    <row r="302" spans="4:10" ht="13.95" customHeight="1" x14ac:dyDescent="0.3">
      <c r="F302" s="64" t="str">
        <f xml:space="preserve"> F$222</f>
        <v>Jaarlijkse gewicht virgin ong. recl., ongeadresseerd normaal (kg)</v>
      </c>
      <c r="G302" s="127">
        <f xml:space="preserve"> G$222</f>
        <v>0</v>
      </c>
      <c r="H302" s="64" t="str">
        <f xml:space="preserve"> H$222</f>
        <v>kg / jaar</v>
      </c>
      <c r="J302" s="43"/>
    </row>
    <row r="303" spans="4:10" ht="13.95" customHeight="1" x14ac:dyDescent="0.3">
      <c r="F303" s="64" t="str">
        <f xml:space="preserve"> F$223</f>
        <v>Jaarlijkse gewicht recycled ong. recl., ongeadresseerd normaal (kg)</v>
      </c>
      <c r="G303" s="127">
        <f xml:space="preserve"> G$223</f>
        <v>936000</v>
      </c>
      <c r="H303" s="64" t="str">
        <f xml:space="preserve"> H$223</f>
        <v>kg / jaar</v>
      </c>
    </row>
    <row r="304" spans="4:10" ht="13.95" customHeight="1" x14ac:dyDescent="0.3">
      <c r="F304" s="64" t="str">
        <f xml:space="preserve"> F$224</f>
        <v>Jaarlijkse gewicht virgin plastic, ongeadresseerd normaal (kg)</v>
      </c>
      <c r="G304" s="127">
        <f xml:space="preserve"> G$224</f>
        <v>2808</v>
      </c>
      <c r="H304" s="64" t="str">
        <f xml:space="preserve"> H$224</f>
        <v>kg / jaar</v>
      </c>
    </row>
    <row r="305" spans="6:8" ht="13.95" customHeight="1" x14ac:dyDescent="0.3">
      <c r="F305" s="64" t="str">
        <f xml:space="preserve"> F$225</f>
        <v>Jaarlijkse gewicht recycled plastic, ongeadresseerd normaal (kg)</v>
      </c>
      <c r="G305" s="127">
        <f xml:space="preserve"> G$225</f>
        <v>0</v>
      </c>
      <c r="H305" s="64" t="str">
        <f xml:space="preserve"> H$225</f>
        <v>kg / jaar</v>
      </c>
    </row>
    <row r="306" spans="6:8" ht="1.95" customHeight="1" x14ac:dyDescent="0.3">
      <c r="G306" s="128"/>
    </row>
    <row r="307" spans="6:8" ht="13.95" customHeight="1" x14ac:dyDescent="0.3">
      <c r="F307" s="64" t="str">
        <f xml:space="preserve"> F$245</f>
        <v>Jaarlijkse gewicht virgin, geadresseerd selectie (kg)</v>
      </c>
      <c r="G307" s="127">
        <f xml:space="preserve"> G$245</f>
        <v>0</v>
      </c>
      <c r="H307" s="64" t="str">
        <f xml:space="preserve"> H$245</f>
        <v>kg / jaar</v>
      </c>
    </row>
    <row r="308" spans="6:8" ht="13.95" customHeight="1" x14ac:dyDescent="0.3">
      <c r="F308" s="64" t="str">
        <f xml:space="preserve"> F$246</f>
        <v>Jaarlijkse gewicht recycled, geadresseerd selectie (kg)</v>
      </c>
      <c r="G308" s="127">
        <f xml:space="preserve"> G$246</f>
        <v>3587.5840000000003</v>
      </c>
      <c r="H308" s="64" t="str">
        <f xml:space="preserve"> H$246</f>
        <v>kg / jaar</v>
      </c>
    </row>
    <row r="309" spans="6:8" ht="13.95" customHeight="1" x14ac:dyDescent="0.3">
      <c r="F309" s="64" t="str">
        <f xml:space="preserve"> F$247</f>
        <v>Jaarlijkse gewicht virgin plastic, geadresseerd selectie (kg)</v>
      </c>
      <c r="G309" s="127">
        <f xml:space="preserve"> G$247</f>
        <v>160.16</v>
      </c>
      <c r="H309" s="64" t="str">
        <f xml:space="preserve"> H$247</f>
        <v>kg / jaar</v>
      </c>
    </row>
    <row r="310" spans="6:8" ht="13.95" customHeight="1" x14ac:dyDescent="0.3">
      <c r="F310" s="64" t="str">
        <f xml:space="preserve"> F$248</f>
        <v>Jaarlijkse gewicht recycled plastic, geadresseerd selectie (kg)</v>
      </c>
      <c r="G310" s="127">
        <f xml:space="preserve"> G$248</f>
        <v>0</v>
      </c>
      <c r="H310" s="64" t="str">
        <f xml:space="preserve"> H$248</f>
        <v>kg / jaar</v>
      </c>
    </row>
    <row r="311" spans="6:8" ht="1.95" customHeight="1" x14ac:dyDescent="0.3">
      <c r="G311" s="128"/>
    </row>
    <row r="312" spans="6:8" ht="13.95" customHeight="1" x14ac:dyDescent="0.3">
      <c r="F312" s="64" t="str">
        <f xml:space="preserve"> F$287</f>
        <v>Jaarlijkse gewicht virgin papier, huis-aan-huis (kg)</v>
      </c>
      <c r="G312" s="127">
        <f xml:space="preserve"> G$287</f>
        <v>0</v>
      </c>
      <c r="H312" s="64" t="str">
        <f xml:space="preserve"> H$287</f>
        <v>kg / jaar</v>
      </c>
    </row>
    <row r="313" spans="6:8" ht="13.95" customHeight="1" x14ac:dyDescent="0.3">
      <c r="F313" s="64" t="str">
        <f xml:space="preserve"> F$288</f>
        <v>Jaarlijkse gewicht recycled papier, huis-aan-huis (kg)</v>
      </c>
      <c r="G313" s="127">
        <f xml:space="preserve"> G$288</f>
        <v>172380</v>
      </c>
      <c r="H313" s="64" t="str">
        <f xml:space="preserve"> H$288</f>
        <v>kg / jaar</v>
      </c>
    </row>
    <row r="314" spans="6:8" ht="13.95" customHeight="1" x14ac:dyDescent="0.3">
      <c r="F314" s="64" t="str">
        <f xml:space="preserve"> F$289</f>
        <v>Jaarlijkse gewicht virgin plastic, huis-aan-huis (kg)</v>
      </c>
      <c r="G314" s="127">
        <f xml:space="preserve"> G$289</f>
        <v>0</v>
      </c>
      <c r="H314" s="64" t="str">
        <f xml:space="preserve"> H$289</f>
        <v>kg / jaar</v>
      </c>
    </row>
    <row r="315" spans="6:8" ht="13.95" customHeight="1" x14ac:dyDescent="0.3">
      <c r="F315" s="64" t="str">
        <f xml:space="preserve"> F$290</f>
        <v>Jaarlijkse gewicht recycled plastic, huis-aan-huis (kg)</v>
      </c>
      <c r="G315" s="127">
        <f xml:space="preserve"> G$290</f>
        <v>0</v>
      </c>
      <c r="H315" s="64" t="str">
        <f xml:space="preserve"> H$290</f>
        <v>kg / jaar</v>
      </c>
    </row>
    <row r="316" spans="6:8" ht="1.95" customHeight="1" x14ac:dyDescent="0.3">
      <c r="F316" s="64"/>
      <c r="G316" s="127"/>
      <c r="H316" s="64"/>
    </row>
    <row r="317" spans="6:8" ht="13.95" customHeight="1" x14ac:dyDescent="0.3">
      <c r="F317" s="64" t="str">
        <f xml:space="preserve"> F$296</f>
        <v>Jaarlijkse gewicht opslag lokale folders (kg), recycled</v>
      </c>
      <c r="G317" s="127">
        <f xml:space="preserve"> G$296</f>
        <v>55598.379200000003</v>
      </c>
      <c r="H317" s="64" t="str">
        <f xml:space="preserve"> H$296</f>
        <v>kg / jaar</v>
      </c>
    </row>
    <row r="318" spans="6:8" ht="1.95" customHeight="1" x14ac:dyDescent="0.3">
      <c r="G318" s="128"/>
    </row>
    <row r="319" spans="6:8" ht="13.95" customHeight="1" x14ac:dyDescent="0.3">
      <c r="F319" t="s">
        <v>490</v>
      </c>
      <c r="G319" s="128">
        <f>SUM(G302,G307,G312)</f>
        <v>0</v>
      </c>
      <c r="H319" t="s">
        <v>456</v>
      </c>
    </row>
    <row r="320" spans="6:8" ht="13.95" customHeight="1" x14ac:dyDescent="0.3">
      <c r="F320" t="s">
        <v>491</v>
      </c>
      <c r="G320" s="128">
        <f>SUM(G303,G308,G313,G317)</f>
        <v>1167565.9632000001</v>
      </c>
      <c r="H320" t="s">
        <v>456</v>
      </c>
    </row>
    <row r="321" spans="3:8" ht="13.95" customHeight="1" x14ac:dyDescent="0.3">
      <c r="F321" t="s">
        <v>492</v>
      </c>
      <c r="G321" s="128">
        <f>SUM(G304,G309,G314)</f>
        <v>2968.16</v>
      </c>
      <c r="H321" t="s">
        <v>456</v>
      </c>
    </row>
    <row r="322" spans="3:8" ht="13.95" customHeight="1" x14ac:dyDescent="0.3">
      <c r="F322" t="s">
        <v>493</v>
      </c>
      <c r="G322" s="128">
        <f>SUM(G305,G310,G315)</f>
        <v>0</v>
      </c>
      <c r="H322" t="s">
        <v>456</v>
      </c>
    </row>
    <row r="323" spans="3:8" ht="1.95" customHeight="1" x14ac:dyDescent="0.3">
      <c r="G323" s="128"/>
    </row>
    <row r="324" spans="3:8" ht="13.95" customHeight="1" x14ac:dyDescent="0.3">
      <c r="F324" t="s">
        <v>500</v>
      </c>
      <c r="G324" s="128">
        <f>G319+G320</f>
        <v>1167565.9632000001</v>
      </c>
      <c r="H324" t="s">
        <v>456</v>
      </c>
    </row>
    <row r="325" spans="3:8" ht="13.95" customHeight="1" x14ac:dyDescent="0.3">
      <c r="F325" t="s">
        <v>501</v>
      </c>
      <c r="G325" s="128">
        <f>G321+G322</f>
        <v>2968.16</v>
      </c>
      <c r="H325" t="s">
        <v>456</v>
      </c>
    </row>
    <row r="326" spans="3:8" ht="1.95" customHeight="1" x14ac:dyDescent="0.3">
      <c r="G326" s="128"/>
    </row>
    <row r="327" spans="3:8" ht="13.95" customHeight="1" x14ac:dyDescent="0.3">
      <c r="F327" t="s">
        <v>502</v>
      </c>
      <c r="G327" s="128">
        <f>SUM(G319:G322)</f>
        <v>1170534.1232</v>
      </c>
      <c r="H327" t="s">
        <v>456</v>
      </c>
    </row>
    <row r="328" spans="3:8" ht="13.95" customHeight="1" x14ac:dyDescent="0.3"/>
    <row r="329" spans="3:8" ht="13.95" customHeight="1" x14ac:dyDescent="0.3">
      <c r="C329" s="57" t="s">
        <v>472</v>
      </c>
      <c r="F329" s="46"/>
      <c r="G329" s="46"/>
      <c r="H329" s="46"/>
    </row>
    <row r="330" spans="3:8" ht="13.95" customHeight="1" x14ac:dyDescent="0.3">
      <c r="D330" t="s">
        <v>487</v>
      </c>
      <c r="F330" s="46"/>
      <c r="G330" s="46"/>
      <c r="H330" s="46"/>
    </row>
    <row r="331" spans="3:8" ht="13.95" customHeight="1" x14ac:dyDescent="0.3">
      <c r="E331" s="53" t="s">
        <v>904</v>
      </c>
      <c r="F331" s="46"/>
      <c r="G331" s="46"/>
      <c r="H331" s="46"/>
    </row>
    <row r="332" spans="3:8" ht="13.95" customHeight="1" x14ac:dyDescent="0.3">
      <c r="F332" s="86" t="str">
        <f xml:space="preserve"> Inputs!E$32</f>
        <v>Virgin bedrukt papier, hernieuwbare energie, biomassa</v>
      </c>
      <c r="G332" s="46">
        <f xml:space="preserve"> Inputs!F$32</f>
        <v>27.245000000000001</v>
      </c>
      <c r="H332" s="46" t="str">
        <f xml:space="preserve"> Inputs!G$32</f>
        <v>MJ-eq / kg</v>
      </c>
    </row>
    <row r="333" spans="3:8" ht="13.95" customHeight="1" x14ac:dyDescent="0.3">
      <c r="F333" s="46" t="str">
        <f xml:space="preserve"> Inputs!E$33</f>
        <v>Virgin bedrukt papier, hernieuwbare energie, geothermie</v>
      </c>
      <c r="G333" s="46">
        <f xml:space="preserve"> Inputs!F$33</f>
        <v>7.4050000000000005E-2</v>
      </c>
      <c r="H333" s="46" t="str">
        <f xml:space="preserve"> Inputs!G$33</f>
        <v>MJ-eq / kg</v>
      </c>
    </row>
    <row r="334" spans="3:8" ht="13.95" customHeight="1" x14ac:dyDescent="0.3">
      <c r="F334" s="46" t="str">
        <f xml:space="preserve"> Inputs!E$34</f>
        <v>Virgin bedrukt papier, hernieuwbare energie, zon</v>
      </c>
      <c r="G334" s="46">
        <f xml:space="preserve"> Inputs!F$34</f>
        <v>4.6504000000000001E-4</v>
      </c>
      <c r="H334" s="46" t="str">
        <f xml:space="preserve"> Inputs!G$34</f>
        <v>MJ-eq / kg</v>
      </c>
    </row>
    <row r="335" spans="3:8" ht="13.95" customHeight="1" x14ac:dyDescent="0.3">
      <c r="F335" s="46" t="str">
        <f xml:space="preserve"> Inputs!E$35</f>
        <v>Virgin bedrukt papier, hernieuwbare energie, water</v>
      </c>
      <c r="G335" s="46">
        <f xml:space="preserve"> Inputs!F$35</f>
        <v>2.1696</v>
      </c>
      <c r="H335" s="46" t="str">
        <f xml:space="preserve"> Inputs!G$35</f>
        <v>MJ-eq / kg</v>
      </c>
    </row>
    <row r="336" spans="3:8" ht="13.95" customHeight="1" x14ac:dyDescent="0.3">
      <c r="F336" s="46" t="str">
        <f xml:space="preserve"> Inputs!E$36</f>
        <v>Virgin bedrukt papier, hernieuwbare energie, wind</v>
      </c>
      <c r="G336" s="46">
        <f xml:space="preserve"> Inputs!F$36</f>
        <v>1.0834999999999999</v>
      </c>
      <c r="H336" s="46" t="str">
        <f xml:space="preserve"> Inputs!G$36</f>
        <v>MJ-eq / kg</v>
      </c>
    </row>
    <row r="337" spans="6:8" ht="1.95" customHeight="1" x14ac:dyDescent="0.3">
      <c r="F337" s="46"/>
      <c r="G337" s="46"/>
      <c r="H337" s="46"/>
    </row>
    <row r="338" spans="6:8" ht="13.95" customHeight="1" x14ac:dyDescent="0.3">
      <c r="F338" s="46" t="str">
        <f xml:space="preserve"> Inputs!E$38</f>
        <v>Virgin bedrukt papier, niet-hernieuwbare energie, fossiel</v>
      </c>
      <c r="G338" s="46">
        <f xml:space="preserve"> Inputs!F$38</f>
        <v>17.510999999999999</v>
      </c>
      <c r="H338" s="46" t="str">
        <f xml:space="preserve"> Inputs!G$38</f>
        <v>MJ-eq / kg</v>
      </c>
    </row>
    <row r="339" spans="6:8" ht="13.95" customHeight="1" x14ac:dyDescent="0.3">
      <c r="F339" s="46" t="str">
        <f xml:space="preserve"> Inputs!E$39</f>
        <v>Virgin bedrukt papier, niet-hernieuwbare energie, nucleair</v>
      </c>
      <c r="G339" s="46">
        <f xml:space="preserve"> Inputs!F$39</f>
        <v>11.567</v>
      </c>
      <c r="H339" s="46" t="str">
        <f xml:space="preserve"> Inputs!G$39</f>
        <v>MJ-eq / kg</v>
      </c>
    </row>
    <row r="340" spans="6:8" ht="13.95" customHeight="1" x14ac:dyDescent="0.3">
      <c r="F340" s="46" t="str">
        <f xml:space="preserve"> Inputs!E$40</f>
        <v>Virgin bedrukt papier, niet-hernieuwbare energie, oerbos</v>
      </c>
      <c r="G340" s="46">
        <f xml:space="preserve"> Inputs!F$40</f>
        <v>3.0032000000000001E-3</v>
      </c>
      <c r="H340" s="46" t="str">
        <f xml:space="preserve"> Inputs!G$40</f>
        <v>MJ-eq / kg</v>
      </c>
    </row>
    <row r="341" spans="6:8" ht="1.95" customHeight="1" x14ac:dyDescent="0.3">
      <c r="F341" s="46"/>
      <c r="G341" s="46"/>
      <c r="H341" s="46"/>
    </row>
    <row r="342" spans="6:8" ht="13.95" customHeight="1" x14ac:dyDescent="0.3">
      <c r="F342" s="46" t="str">
        <f xml:space="preserve"> Inputs!E$42</f>
        <v>Virgin bedrukt papier, water</v>
      </c>
      <c r="G342" s="46">
        <f xml:space="preserve"> Inputs!F$42</f>
        <v>2.6164E-2</v>
      </c>
      <c r="H342" s="46" t="str">
        <f xml:space="preserve"> Inputs!G$42</f>
        <v>m3 / kg</v>
      </c>
    </row>
    <row r="343" spans="6:8" ht="1.95" customHeight="1" x14ac:dyDescent="0.3">
      <c r="F343" s="46"/>
      <c r="G343" s="46"/>
      <c r="H343" s="46"/>
    </row>
    <row r="344" spans="6:8" ht="13.95" customHeight="1" x14ac:dyDescent="0.3">
      <c r="F344" s="46" t="str">
        <f xml:space="preserve"> Inputs!E$44</f>
        <v>Virgin bedrukt papier, GWP100</v>
      </c>
      <c r="G344" s="46">
        <f xml:space="preserve"> Inputs!F$44</f>
        <v>1.3794999999999999</v>
      </c>
      <c r="H344" s="46" t="str">
        <f xml:space="preserve"> Inputs!G$44</f>
        <v>kg CO2-eq / kg</v>
      </c>
    </row>
    <row r="345" spans="6:8" ht="13.95" customHeight="1" x14ac:dyDescent="0.3">
      <c r="F345" s="46"/>
      <c r="G345" s="46"/>
      <c r="H345" s="46"/>
    </row>
    <row r="346" spans="6:8" ht="13.95" customHeight="1" x14ac:dyDescent="0.3">
      <c r="F346" s="68" t="s">
        <v>905</v>
      </c>
      <c r="G346" s="75">
        <f>SUM(G332:G336)</f>
        <v>30.572615040000002</v>
      </c>
      <c r="H346" s="68" t="s">
        <v>473</v>
      </c>
    </row>
    <row r="347" spans="6:8" ht="13.95" customHeight="1" x14ac:dyDescent="0.3">
      <c r="F347" s="68" t="s">
        <v>906</v>
      </c>
      <c r="G347" s="75">
        <f>SUM(G338:G340)</f>
        <v>29.081003199999998</v>
      </c>
      <c r="H347" s="68" t="s">
        <v>473</v>
      </c>
    </row>
    <row r="348" spans="6:8" ht="13.95" customHeight="1" x14ac:dyDescent="0.3">
      <c r="F348" s="68" t="s">
        <v>907</v>
      </c>
      <c r="G348" s="75">
        <f>G342</f>
        <v>2.6164E-2</v>
      </c>
      <c r="H348" s="68" t="s">
        <v>474</v>
      </c>
    </row>
    <row r="349" spans="6:8" ht="13.95" customHeight="1" x14ac:dyDescent="0.3">
      <c r="F349" s="68" t="s">
        <v>908</v>
      </c>
      <c r="G349" s="75">
        <f>G344</f>
        <v>1.3794999999999999</v>
      </c>
      <c r="H349" s="68" t="s">
        <v>475</v>
      </c>
    </row>
    <row r="350" spans="6:8" ht="1.95" customHeight="1" x14ac:dyDescent="0.3">
      <c r="F350" s="46"/>
      <c r="G350" s="46"/>
      <c r="H350" s="46"/>
    </row>
    <row r="351" spans="6:8" ht="13.95" customHeight="1" x14ac:dyDescent="0.3">
      <c r="F351" s="64" t="str">
        <f xml:space="preserve"> F$263</f>
        <v>Jaarlijkse gewicht virgin papier ongeaddr. + geaddr. reclamedrukwerk (kg)</v>
      </c>
      <c r="G351" s="67">
        <f xml:space="preserve"> G$263</f>
        <v>0</v>
      </c>
      <c r="H351" s="64" t="str">
        <f xml:space="preserve"> H$263</f>
        <v>kg / jaar</v>
      </c>
    </row>
    <row r="352" spans="6:8" ht="1.95" customHeight="1" x14ac:dyDescent="0.3">
      <c r="F352" s="46"/>
      <c r="G352" s="46"/>
      <c r="H352" s="46"/>
    </row>
    <row r="353" spans="5:8" ht="13.95" customHeight="1" x14ac:dyDescent="0.3">
      <c r="F353" s="68" t="s">
        <v>909</v>
      </c>
      <c r="G353" s="73">
        <f>G346*$G$351</f>
        <v>0</v>
      </c>
      <c r="H353" s="68" t="s">
        <v>480</v>
      </c>
    </row>
    <row r="354" spans="5:8" ht="13.95" customHeight="1" x14ac:dyDescent="0.3">
      <c r="F354" s="68" t="s">
        <v>910</v>
      </c>
      <c r="G354" s="73">
        <f t="shared" ref="G354:G356" si="6">G347*$G$351</f>
        <v>0</v>
      </c>
      <c r="H354" s="68" t="s">
        <v>480</v>
      </c>
    </row>
    <row r="355" spans="5:8" ht="13.95" customHeight="1" x14ac:dyDescent="0.3">
      <c r="F355" s="68" t="s">
        <v>911</v>
      </c>
      <c r="G355" s="73">
        <f t="shared" si="6"/>
        <v>0</v>
      </c>
      <c r="H355" s="68" t="s">
        <v>481</v>
      </c>
    </row>
    <row r="356" spans="5:8" ht="13.95" customHeight="1" x14ac:dyDescent="0.3">
      <c r="F356" s="68" t="s">
        <v>912</v>
      </c>
      <c r="G356" s="73">
        <f t="shared" si="6"/>
        <v>0</v>
      </c>
      <c r="H356" s="68" t="s">
        <v>482</v>
      </c>
    </row>
    <row r="357" spans="5:8" ht="13.95" customHeight="1" x14ac:dyDescent="0.3">
      <c r="F357" s="46"/>
      <c r="G357" s="46"/>
      <c r="H357" s="46"/>
    </row>
    <row r="358" spans="5:8" ht="13.95" customHeight="1" x14ac:dyDescent="0.3">
      <c r="E358" s="53" t="s">
        <v>913</v>
      </c>
      <c r="F358" s="46"/>
      <c r="G358" s="46"/>
      <c r="H358" s="46"/>
    </row>
    <row r="359" spans="5:8" ht="13.95" customHeight="1" x14ac:dyDescent="0.3">
      <c r="F359" s="46" t="str">
        <f xml:space="preserve"> Inputs!E$47</f>
        <v>Recycled bedrukt papier per kg output (gerecycled papier), hernieuwbare energie, biomassa</v>
      </c>
      <c r="G359" s="46">
        <f xml:space="preserve"> Inputs!F$47</f>
        <v>11.555</v>
      </c>
      <c r="H359" s="46" t="str">
        <f xml:space="preserve"> Inputs!G$47</f>
        <v>MJ-eq / kg</v>
      </c>
    </row>
    <row r="360" spans="5:8" ht="13.95" customHeight="1" x14ac:dyDescent="0.3">
      <c r="F360" s="46" t="str">
        <f xml:space="preserve"> Inputs!E$48</f>
        <v>Recycled bedrukt papier per kg output (gerecycled papier), hernieuwbare energie, geothermie</v>
      </c>
      <c r="G360" s="46">
        <f xml:space="preserve"> Inputs!F$48</f>
        <v>4.3588000000000002E-2</v>
      </c>
      <c r="H360" s="46" t="str">
        <f xml:space="preserve"> Inputs!G$48</f>
        <v>MJ-eq / kg</v>
      </c>
    </row>
    <row r="361" spans="5:8" ht="13.95" customHeight="1" x14ac:dyDescent="0.3">
      <c r="F361" s="46" t="str">
        <f xml:space="preserve"> Inputs!E$49</f>
        <v>Recycled bedrukt papier per kg output (gerecycled papier), hernieuwbare energie, zon</v>
      </c>
      <c r="G361" s="46">
        <f xml:space="preserve"> Inputs!F$49</f>
        <v>2.9163000000000003E-4</v>
      </c>
      <c r="H361" s="46" t="str">
        <f xml:space="preserve"> Inputs!G$49</f>
        <v>MJ-eq / kg</v>
      </c>
    </row>
    <row r="362" spans="5:8" ht="13.95" customHeight="1" x14ac:dyDescent="0.3">
      <c r="F362" s="46" t="str">
        <f xml:space="preserve"> Inputs!E$50</f>
        <v>Recycled bedrukt papier per kg output (gerecycled papier), hernieuwbare energie, water</v>
      </c>
      <c r="G362" s="46">
        <f xml:space="preserve"> Inputs!F$50</f>
        <v>1.2242999999999999</v>
      </c>
      <c r="H362" s="46" t="str">
        <f xml:space="preserve"> Inputs!G$50</f>
        <v>MJ-eq / kg</v>
      </c>
    </row>
    <row r="363" spans="5:8" ht="13.95" customHeight="1" x14ac:dyDescent="0.3">
      <c r="F363" s="46" t="str">
        <f xml:space="preserve"> Inputs!E$51</f>
        <v>Recycled bedrukt papier per kg output (gerecycled papier), hernieuwbare energie, wind</v>
      </c>
      <c r="G363" s="46">
        <f xml:space="preserve"> Inputs!F$51</f>
        <v>0.63278999999999996</v>
      </c>
      <c r="H363" s="46" t="str">
        <f xml:space="preserve"> Inputs!G$51</f>
        <v>MJ-eq / kg</v>
      </c>
    </row>
    <row r="364" spans="5:8" ht="1.95" customHeight="1" x14ac:dyDescent="0.3">
      <c r="F364" s="46">
        <f xml:space="preserve"> Inputs!E$52</f>
        <v>0</v>
      </c>
      <c r="G364" s="46">
        <f xml:space="preserve"> Inputs!F$52</f>
        <v>0</v>
      </c>
      <c r="H364" s="46">
        <f xml:space="preserve"> Inputs!G$52</f>
        <v>0</v>
      </c>
    </row>
    <row r="365" spans="5:8" ht="13.95" customHeight="1" x14ac:dyDescent="0.3">
      <c r="F365" s="46" t="str">
        <f xml:space="preserve"> Inputs!E$53</f>
        <v>Recycled bedrukt papier per kg output (gerecycled papier), niet-hernieuwbare energie, fossiel</v>
      </c>
      <c r="G365" s="46">
        <f xml:space="preserve"> Inputs!F$53</f>
        <v>13.451000000000001</v>
      </c>
      <c r="H365" s="46" t="str">
        <f xml:space="preserve"> Inputs!G$53</f>
        <v>MJ-eq / kg</v>
      </c>
    </row>
    <row r="366" spans="5:8" ht="13.95" customHeight="1" x14ac:dyDescent="0.3">
      <c r="F366" s="46" t="str">
        <f xml:space="preserve"> Inputs!E$54</f>
        <v>Recycled bedrukt papier per kg output (gerecycled papier), niet-hernieuwbare energie, nucleair</v>
      </c>
      <c r="G366" s="46">
        <f xml:space="preserve"> Inputs!F$54</f>
        <v>6.6791</v>
      </c>
      <c r="H366" s="46" t="str">
        <f xml:space="preserve"> Inputs!G$54</f>
        <v>MJ-eq / kg</v>
      </c>
    </row>
    <row r="367" spans="5:8" ht="13.95" customHeight="1" x14ac:dyDescent="0.3">
      <c r="F367" s="46" t="str">
        <f xml:space="preserve"> Inputs!E$55</f>
        <v>Recycled bedrukt papier per kg output (gerecycled papier), niet-hernieuwbare energie, oerbos</v>
      </c>
      <c r="G367" s="46">
        <f xml:space="preserve"> Inputs!F$55</f>
        <v>1.796E-2</v>
      </c>
      <c r="H367" s="46" t="str">
        <f xml:space="preserve"> Inputs!G$55</f>
        <v>MJ-eq / kg</v>
      </c>
    </row>
    <row r="368" spans="5:8" ht="1.95" customHeight="1" x14ac:dyDescent="0.3">
      <c r="F368" s="46">
        <f xml:space="preserve"> Inputs!E$56</f>
        <v>0</v>
      </c>
      <c r="G368" s="46">
        <f xml:space="preserve"> Inputs!F$56</f>
        <v>0</v>
      </c>
      <c r="H368" s="46">
        <f xml:space="preserve"> Inputs!G$56</f>
        <v>0</v>
      </c>
    </row>
    <row r="369" spans="6:8" ht="13.95" customHeight="1" x14ac:dyDescent="0.3">
      <c r="F369" s="46" t="str">
        <f xml:space="preserve"> Inputs!E$57</f>
        <v>Recycled bedrukt papier per kg output (gerecycled papier), water</v>
      </c>
      <c r="G369" s="46">
        <f xml:space="preserve"> Inputs!F$57</f>
        <v>2.1631999999999998E-2</v>
      </c>
      <c r="H369" s="46" t="str">
        <f xml:space="preserve"> Inputs!G$57</f>
        <v>m3 / kg</v>
      </c>
    </row>
    <row r="370" spans="6:8" ht="1.95" customHeight="1" x14ac:dyDescent="0.3">
      <c r="F370" s="46">
        <f xml:space="preserve"> Inputs!E$58</f>
        <v>0</v>
      </c>
      <c r="G370" s="46">
        <f xml:space="preserve"> Inputs!F$58</f>
        <v>0</v>
      </c>
      <c r="H370" s="46">
        <f xml:space="preserve"> Inputs!G$58</f>
        <v>0</v>
      </c>
    </row>
    <row r="371" spans="6:8" ht="13.95" customHeight="1" x14ac:dyDescent="0.3">
      <c r="F371" s="46" t="str">
        <f xml:space="preserve"> Inputs!E$59</f>
        <v>Recycled bedrukt papier per kg output (gerecycled papier), GWP100</v>
      </c>
      <c r="G371" s="46">
        <f xml:space="preserve"> Inputs!F$59</f>
        <v>1.1591</v>
      </c>
      <c r="H371" s="46" t="str">
        <f xml:space="preserve"> Inputs!G$59</f>
        <v>kg CO2-eq / kg</v>
      </c>
    </row>
    <row r="372" spans="6:8" ht="13.95" customHeight="1" x14ac:dyDescent="0.3">
      <c r="F372" s="46"/>
      <c r="G372" s="46"/>
      <c r="H372" s="46"/>
    </row>
    <row r="373" spans="6:8" ht="13.95" customHeight="1" x14ac:dyDescent="0.3">
      <c r="F373" s="68" t="s">
        <v>914</v>
      </c>
      <c r="G373" s="75">
        <f>SUM(G359:G363)</f>
        <v>13.455969629999998</v>
      </c>
      <c r="H373" s="68" t="s">
        <v>473</v>
      </c>
    </row>
    <row r="374" spans="6:8" ht="13.95" customHeight="1" x14ac:dyDescent="0.3">
      <c r="F374" s="68" t="s">
        <v>915</v>
      </c>
      <c r="G374" s="75">
        <f>SUM(G365:G367)</f>
        <v>20.148059999999997</v>
      </c>
      <c r="H374" s="68" t="s">
        <v>473</v>
      </c>
    </row>
    <row r="375" spans="6:8" ht="13.95" customHeight="1" x14ac:dyDescent="0.3">
      <c r="F375" s="68" t="s">
        <v>916</v>
      </c>
      <c r="G375" s="75">
        <f>G369</f>
        <v>2.1631999999999998E-2</v>
      </c>
      <c r="H375" s="68" t="s">
        <v>474</v>
      </c>
    </row>
    <row r="376" spans="6:8" ht="13.95" customHeight="1" x14ac:dyDescent="0.3">
      <c r="F376" s="68" t="s">
        <v>917</v>
      </c>
      <c r="G376" s="75">
        <f>G371</f>
        <v>1.1591</v>
      </c>
      <c r="H376" s="68" t="s">
        <v>475</v>
      </c>
    </row>
    <row r="377" spans="6:8" ht="1.95" customHeight="1" x14ac:dyDescent="0.3">
      <c r="F377" s="46"/>
      <c r="G377" s="46"/>
      <c r="H377" s="46"/>
    </row>
    <row r="378" spans="6:8" ht="13.95" customHeight="1" x14ac:dyDescent="0.3">
      <c r="F378" s="64" t="str">
        <f xml:space="preserve"> F$264</f>
        <v>Jaarlijkse gewicht recycled papier ongeaddr. + geaddr. reclamedrukwerk (kg)</v>
      </c>
      <c r="G378" s="67">
        <f xml:space="preserve"> G$264</f>
        <v>995185.9632</v>
      </c>
      <c r="H378" s="64" t="str">
        <f xml:space="preserve"> H$264</f>
        <v>kg / jaar</v>
      </c>
    </row>
    <row r="379" spans="6:8" ht="1.95" customHeight="1" x14ac:dyDescent="0.3">
      <c r="F379" s="46"/>
      <c r="G379" s="46"/>
      <c r="H379" s="46"/>
    </row>
    <row r="380" spans="6:8" ht="13.95" customHeight="1" x14ac:dyDescent="0.3">
      <c r="F380" s="68" t="s">
        <v>918</v>
      </c>
      <c r="G380" s="73">
        <f>G373*$G$378</f>
        <v>13391192.097021496</v>
      </c>
      <c r="H380" s="68" t="s">
        <v>480</v>
      </c>
    </row>
    <row r="381" spans="6:8" ht="13.95" customHeight="1" x14ac:dyDescent="0.3">
      <c r="F381" s="68" t="s">
        <v>919</v>
      </c>
      <c r="G381" s="73">
        <f t="shared" ref="G381:G383" si="7">G374*$G$378</f>
        <v>20051066.49771139</v>
      </c>
      <c r="H381" s="68" t="s">
        <v>480</v>
      </c>
    </row>
    <row r="382" spans="6:8" ht="13.95" customHeight="1" x14ac:dyDescent="0.3">
      <c r="F382" s="68" t="s">
        <v>920</v>
      </c>
      <c r="G382" s="73">
        <f t="shared" si="7"/>
        <v>21527.862755942399</v>
      </c>
      <c r="H382" s="68" t="s">
        <v>481</v>
      </c>
    </row>
    <row r="383" spans="6:8" ht="13.95" customHeight="1" x14ac:dyDescent="0.3">
      <c r="F383" s="68" t="s">
        <v>921</v>
      </c>
      <c r="G383" s="73">
        <f t="shared" si="7"/>
        <v>1153520.04994512</v>
      </c>
      <c r="H383" s="68" t="s">
        <v>482</v>
      </c>
    </row>
    <row r="384" spans="6:8" ht="13.95" customHeight="1" x14ac:dyDescent="0.3">
      <c r="F384" s="46"/>
      <c r="G384" s="46"/>
      <c r="H384" s="46"/>
    </row>
    <row r="385" spans="5:8" ht="13.95" customHeight="1" x14ac:dyDescent="0.3">
      <c r="E385" s="53" t="s">
        <v>571</v>
      </c>
      <c r="F385" s="46"/>
      <c r="G385" s="46"/>
      <c r="H385" s="46"/>
    </row>
    <row r="386" spans="5:8" ht="13.95" customHeight="1" x14ac:dyDescent="0.3">
      <c r="F386" s="64" t="str">
        <f xml:space="preserve"> F$353</f>
        <v>Impact virgin bedrukt papier, ongeaddr. + geaddr. per jaar, hernieuwbare energie</v>
      </c>
      <c r="G386" s="67">
        <f xml:space="preserve"> G$353</f>
        <v>0</v>
      </c>
      <c r="H386" s="64" t="str">
        <f xml:space="preserve"> H$353</f>
        <v>MJ / jaar</v>
      </c>
    </row>
    <row r="387" spans="5:8" ht="13.95" customHeight="1" x14ac:dyDescent="0.3">
      <c r="F387" s="64" t="str">
        <f xml:space="preserve"> F$354</f>
        <v>Impact virgin bedrukt papier, ongeaddr. + geaddr. per jaar, niet-hernieuwbare energie</v>
      </c>
      <c r="G387" s="67">
        <f xml:space="preserve"> G$354</f>
        <v>0</v>
      </c>
      <c r="H387" s="64" t="str">
        <f xml:space="preserve"> H$354</f>
        <v>MJ / jaar</v>
      </c>
    </row>
    <row r="388" spans="5:8" ht="13.95" customHeight="1" x14ac:dyDescent="0.3">
      <c r="F388" s="64" t="str">
        <f xml:space="preserve"> F$355</f>
        <v>Impact virgin bedrukt papier, ongeaddr. + geaddr. per jaar, water</v>
      </c>
      <c r="G388" s="67">
        <f xml:space="preserve"> G$355</f>
        <v>0</v>
      </c>
      <c r="H388" s="64" t="str">
        <f xml:space="preserve"> H$355</f>
        <v>M3 / jaar</v>
      </c>
    </row>
    <row r="389" spans="5:8" ht="13.95" customHeight="1" x14ac:dyDescent="0.3">
      <c r="F389" s="64" t="str">
        <f xml:space="preserve"> F$356</f>
        <v>Impact virgin bedrukt papier, ongeaddr. + geaddr. per jaar, GWP100</v>
      </c>
      <c r="G389" s="67">
        <f xml:space="preserve"> G$356</f>
        <v>0</v>
      </c>
      <c r="H389" s="64" t="str">
        <f xml:space="preserve"> H$356</f>
        <v>kg CO2-eq / jaar</v>
      </c>
    </row>
    <row r="390" spans="5:8" ht="1.95" customHeight="1" x14ac:dyDescent="0.3">
      <c r="F390" s="46"/>
      <c r="G390" s="46"/>
      <c r="H390" s="46"/>
    </row>
    <row r="391" spans="5:8" ht="13.95" customHeight="1" x14ac:dyDescent="0.3">
      <c r="F391" s="64" t="str">
        <f xml:space="preserve"> F$380</f>
        <v>Impact Gerecycled bedrukt papier, ongeaddr. + geaddr. per jaar, hernieuwbare energie</v>
      </c>
      <c r="G391" s="67">
        <f xml:space="preserve"> G$380</f>
        <v>13391192.097021496</v>
      </c>
      <c r="H391" s="64" t="str">
        <f xml:space="preserve"> H$380</f>
        <v>MJ / jaar</v>
      </c>
    </row>
    <row r="392" spans="5:8" ht="13.95" customHeight="1" x14ac:dyDescent="0.3">
      <c r="F392" s="64" t="str">
        <f xml:space="preserve"> F$381</f>
        <v>Impact Gerecycled bedrukt papier, ongeaddr. + geaddr. per jaar, niet-hernieuwbare energie</v>
      </c>
      <c r="G392" s="67">
        <f xml:space="preserve"> G$381</f>
        <v>20051066.49771139</v>
      </c>
      <c r="H392" s="64" t="str">
        <f xml:space="preserve"> H$381</f>
        <v>MJ / jaar</v>
      </c>
    </row>
    <row r="393" spans="5:8" ht="13.95" customHeight="1" x14ac:dyDescent="0.3">
      <c r="F393" s="64" t="str">
        <f xml:space="preserve"> F$382</f>
        <v>Impact Gerecycled bedrukt papier, ongeaddr. + geaddr. per jaar, water</v>
      </c>
      <c r="G393" s="67">
        <f xml:space="preserve"> G$382</f>
        <v>21527.862755942399</v>
      </c>
      <c r="H393" s="64" t="str">
        <f xml:space="preserve"> H$382</f>
        <v>M3 / jaar</v>
      </c>
    </row>
    <row r="394" spans="5:8" ht="13.95" customHeight="1" x14ac:dyDescent="0.3">
      <c r="F394" s="64" t="str">
        <f xml:space="preserve"> F$383</f>
        <v>Impact Gerecycled bedrukt papier, ongeaddr. + geaddr. per jaar, GWP100</v>
      </c>
      <c r="G394" s="67">
        <f xml:space="preserve"> G$383</f>
        <v>1153520.04994512</v>
      </c>
      <c r="H394" s="64" t="str">
        <f xml:space="preserve"> H$383</f>
        <v>kg CO2-eq / jaar</v>
      </c>
    </row>
    <row r="395" spans="5:8" ht="1.95" customHeight="1" x14ac:dyDescent="0.3">
      <c r="F395" s="46"/>
      <c r="G395" s="46"/>
      <c r="H395" s="46"/>
    </row>
    <row r="396" spans="5:8" ht="13.95" customHeight="1" x14ac:dyDescent="0.3">
      <c r="F396" s="81" t="s">
        <v>1102</v>
      </c>
      <c r="G396" s="89">
        <f>G386+G391</f>
        <v>13391192.097021496</v>
      </c>
      <c r="H396" s="64" t="str">
        <f xml:space="preserve"> H$380</f>
        <v>MJ / jaar</v>
      </c>
    </row>
    <row r="397" spans="5:8" ht="13.95" customHeight="1" x14ac:dyDescent="0.3">
      <c r="F397" s="81" t="s">
        <v>1103</v>
      </c>
      <c r="G397" s="89">
        <f t="shared" ref="G397:G399" si="8">G387+G392</f>
        <v>20051066.49771139</v>
      </c>
      <c r="H397" s="64" t="str">
        <f xml:space="preserve"> H$381</f>
        <v>MJ / jaar</v>
      </c>
    </row>
    <row r="398" spans="5:8" ht="13.95" customHeight="1" x14ac:dyDescent="0.3">
      <c r="F398" s="81" t="s">
        <v>1104</v>
      </c>
      <c r="G398" s="89">
        <f t="shared" si="8"/>
        <v>21527.862755942399</v>
      </c>
      <c r="H398" s="64" t="str">
        <f xml:space="preserve"> H$382</f>
        <v>M3 / jaar</v>
      </c>
    </row>
    <row r="399" spans="5:8" ht="13.95" customHeight="1" x14ac:dyDescent="0.3">
      <c r="F399" s="81" t="s">
        <v>1105</v>
      </c>
      <c r="G399" s="89">
        <f t="shared" si="8"/>
        <v>1153520.04994512</v>
      </c>
      <c r="H399" s="64" t="str">
        <f xml:space="preserve"> H$383</f>
        <v>kg CO2-eq / jaar</v>
      </c>
    </row>
    <row r="400" spans="5:8" ht="13.95" customHeight="1" x14ac:dyDescent="0.3">
      <c r="F400" s="46"/>
      <c r="G400" s="46"/>
      <c r="H400" s="46"/>
    </row>
    <row r="401" spans="5:8" ht="13.95" customHeight="1" x14ac:dyDescent="0.3">
      <c r="E401" s="53" t="s">
        <v>552</v>
      </c>
      <c r="F401" s="46"/>
      <c r="G401" s="46"/>
      <c r="H401" s="46"/>
    </row>
    <row r="402" spans="5:8" ht="13.95" customHeight="1" x14ac:dyDescent="0.3">
      <c r="F402" s="46" t="str">
        <f xml:space="preserve"> Inputs!E$62</f>
        <v>Virgin bedrukt papier, hernieuwbare energie, biomassa</v>
      </c>
      <c r="G402" s="79">
        <f xml:space="preserve"> Inputs!F$62</f>
        <v>27.245000000000001</v>
      </c>
      <c r="H402" s="46" t="str">
        <f xml:space="preserve"> Inputs!G$62</f>
        <v>MJ-eq / kg</v>
      </c>
    </row>
    <row r="403" spans="5:8" ht="13.95" customHeight="1" x14ac:dyDescent="0.3">
      <c r="F403" s="46" t="str">
        <f xml:space="preserve"> Inputs!E$63</f>
        <v>Virgin bedrukt papier, hernieuwbare energie, geothermie</v>
      </c>
      <c r="G403" s="79">
        <f xml:space="preserve"> Inputs!F$63</f>
        <v>7.4050000000000005E-2</v>
      </c>
      <c r="H403" s="46" t="str">
        <f xml:space="preserve"> Inputs!G$63</f>
        <v>MJ-eq / kg</v>
      </c>
    </row>
    <row r="404" spans="5:8" ht="13.95" customHeight="1" x14ac:dyDescent="0.3">
      <c r="F404" s="46" t="str">
        <f xml:space="preserve"> Inputs!E$64</f>
        <v>Virgin bedrukt papier, hernieuwbare energie, zon</v>
      </c>
      <c r="G404" s="79">
        <f xml:space="preserve"> Inputs!F$64</f>
        <v>4.6504000000000001E-4</v>
      </c>
      <c r="H404" s="46" t="str">
        <f xml:space="preserve"> Inputs!G$64</f>
        <v>MJ-eq / kg</v>
      </c>
    </row>
    <row r="405" spans="5:8" ht="13.95" customHeight="1" x14ac:dyDescent="0.3">
      <c r="F405" s="46" t="str">
        <f xml:space="preserve"> Inputs!E$65</f>
        <v>Virgin bedrukt papier, hernieuwbare energie, water</v>
      </c>
      <c r="G405" s="79">
        <f xml:space="preserve"> Inputs!F$65</f>
        <v>2.1696</v>
      </c>
      <c r="H405" s="46" t="str">
        <f xml:space="preserve"> Inputs!G$65</f>
        <v>MJ-eq / kg</v>
      </c>
    </row>
    <row r="406" spans="5:8" ht="13.95" customHeight="1" x14ac:dyDescent="0.3">
      <c r="F406" s="46" t="str">
        <f xml:space="preserve"> Inputs!E$66</f>
        <v>Virgin bedrukt papier, hernieuwbare energie, wind</v>
      </c>
      <c r="G406" s="79">
        <f xml:space="preserve"> Inputs!F$66</f>
        <v>1.0834999999999999</v>
      </c>
      <c r="H406" s="46" t="str">
        <f xml:space="preserve"> Inputs!G$66</f>
        <v>MJ-eq / kg</v>
      </c>
    </row>
    <row r="407" spans="5:8" ht="1.95" customHeight="1" x14ac:dyDescent="0.3">
      <c r="F407" s="46"/>
      <c r="G407" s="79"/>
      <c r="H407" s="46"/>
    </row>
    <row r="408" spans="5:8" ht="13.95" customHeight="1" x14ac:dyDescent="0.3">
      <c r="F408" s="46" t="str">
        <f xml:space="preserve"> Inputs!E$68</f>
        <v>Virgin bedrukt papier, niet-hernieuwbare energie, fossiel</v>
      </c>
      <c r="G408" s="79">
        <f xml:space="preserve"> Inputs!F$68</f>
        <v>17.510999999999999</v>
      </c>
      <c r="H408" s="46" t="str">
        <f xml:space="preserve"> Inputs!G$68</f>
        <v>MJ-eq / kg</v>
      </c>
    </row>
    <row r="409" spans="5:8" ht="13.95" customHeight="1" x14ac:dyDescent="0.3">
      <c r="F409" s="46" t="str">
        <f xml:space="preserve"> Inputs!E$69</f>
        <v>Virgin bedrukt papier, niet-hernieuwbare energie, nucleair</v>
      </c>
      <c r="G409" s="79">
        <f xml:space="preserve"> Inputs!F$69</f>
        <v>11.567</v>
      </c>
      <c r="H409" s="46" t="str">
        <f xml:space="preserve"> Inputs!G$69</f>
        <v>MJ-eq / kg</v>
      </c>
    </row>
    <row r="410" spans="5:8" ht="13.95" customHeight="1" x14ac:dyDescent="0.3">
      <c r="F410" s="46" t="str">
        <f xml:space="preserve"> Inputs!E$70</f>
        <v>Virgin bedrukt papier, niet-hernieuwbare energie, oerbos</v>
      </c>
      <c r="G410" s="79">
        <f xml:space="preserve"> Inputs!F$70</f>
        <v>3.0032000000000001E-3</v>
      </c>
      <c r="H410" s="46" t="str">
        <f xml:space="preserve"> Inputs!G$70</f>
        <v>MJ-eq / kg</v>
      </c>
    </row>
    <row r="411" spans="5:8" ht="1.95" customHeight="1" x14ac:dyDescent="0.3">
      <c r="F411" s="46"/>
      <c r="G411" s="79"/>
      <c r="H411" s="46"/>
    </row>
    <row r="412" spans="5:8" ht="13.95" customHeight="1" x14ac:dyDescent="0.3">
      <c r="F412" s="46" t="str">
        <f xml:space="preserve"> Inputs!E$72</f>
        <v>Virgin bedrukt papier, water</v>
      </c>
      <c r="G412" s="79">
        <f xml:space="preserve"> Inputs!F$72</f>
        <v>2.6164E-2</v>
      </c>
      <c r="H412" s="46" t="str">
        <f xml:space="preserve"> Inputs!G$72</f>
        <v>m3 / kg</v>
      </c>
    </row>
    <row r="413" spans="5:8" ht="1.95" customHeight="1" x14ac:dyDescent="0.3">
      <c r="F413" s="46"/>
      <c r="G413" s="79"/>
      <c r="H413" s="46"/>
    </row>
    <row r="414" spans="5:8" ht="13.95" customHeight="1" x14ac:dyDescent="0.3">
      <c r="F414" s="46" t="str">
        <f xml:space="preserve"> Inputs!E$74</f>
        <v>Virgin bedrukt papier, GWP100</v>
      </c>
      <c r="G414" s="79">
        <f xml:space="preserve"> Inputs!F$74</f>
        <v>1.3794999999999999</v>
      </c>
      <c r="H414" s="46" t="str">
        <f xml:space="preserve"> Inputs!G$74</f>
        <v>kg CO2-eq / kg</v>
      </c>
    </row>
    <row r="415" spans="5:8" ht="13.95" customHeight="1" x14ac:dyDescent="0.3">
      <c r="F415" s="46"/>
      <c r="G415" s="46"/>
      <c r="H415" s="46"/>
    </row>
    <row r="416" spans="5:8" ht="13.95" customHeight="1" x14ac:dyDescent="0.3">
      <c r="F416" s="68" t="s">
        <v>555</v>
      </c>
      <c r="G416" s="75">
        <f>SUM(G402:G406)</f>
        <v>30.572615040000002</v>
      </c>
      <c r="H416" s="68" t="s">
        <v>473</v>
      </c>
    </row>
    <row r="417" spans="5:8" ht="13.95" customHeight="1" x14ac:dyDescent="0.3">
      <c r="F417" s="68" t="s">
        <v>556</v>
      </c>
      <c r="G417" s="75">
        <f>SUM(G408:G410)</f>
        <v>29.081003199999998</v>
      </c>
      <c r="H417" s="68" t="s">
        <v>473</v>
      </c>
    </row>
    <row r="418" spans="5:8" ht="13.95" customHeight="1" x14ac:dyDescent="0.3">
      <c r="F418" s="68" t="s">
        <v>557</v>
      </c>
      <c r="G418" s="75">
        <f>G412</f>
        <v>2.6164E-2</v>
      </c>
      <c r="H418" s="68" t="s">
        <v>474</v>
      </c>
    </row>
    <row r="419" spans="5:8" ht="13.95" customHeight="1" x14ac:dyDescent="0.3">
      <c r="F419" s="68" t="s">
        <v>558</v>
      </c>
      <c r="G419" s="75">
        <f>G414</f>
        <v>1.3794999999999999</v>
      </c>
      <c r="H419" s="68" t="s">
        <v>475</v>
      </c>
    </row>
    <row r="420" spans="5:8" ht="1.95" customHeight="1" x14ac:dyDescent="0.3">
      <c r="F420" s="46"/>
      <c r="G420" s="46"/>
      <c r="H420" s="46"/>
    </row>
    <row r="421" spans="5:8" ht="13.95" customHeight="1" x14ac:dyDescent="0.3">
      <c r="F421" s="64" t="str">
        <f xml:space="preserve"> F$287</f>
        <v>Jaarlijkse gewicht virgin papier, huis-aan-huis (kg)</v>
      </c>
      <c r="G421" s="67">
        <f xml:space="preserve"> G$287</f>
        <v>0</v>
      </c>
      <c r="H421" s="64" t="str">
        <f xml:space="preserve"> H$287</f>
        <v>kg / jaar</v>
      </c>
    </row>
    <row r="422" spans="5:8" ht="1.95" customHeight="1" x14ac:dyDescent="0.3">
      <c r="F422" s="46"/>
      <c r="G422" s="46"/>
      <c r="H422" s="46"/>
    </row>
    <row r="423" spans="5:8" ht="13.95" customHeight="1" x14ac:dyDescent="0.3">
      <c r="F423" s="68" t="s">
        <v>559</v>
      </c>
      <c r="G423" s="73">
        <f>G416*$G$421</f>
        <v>0</v>
      </c>
      <c r="H423" s="68" t="s">
        <v>480</v>
      </c>
    </row>
    <row r="424" spans="5:8" ht="13.95" customHeight="1" x14ac:dyDescent="0.3">
      <c r="F424" s="68" t="s">
        <v>560</v>
      </c>
      <c r="G424" s="73">
        <f t="shared" ref="G424:G426" si="9">G417*$G$421</f>
        <v>0</v>
      </c>
      <c r="H424" s="68" t="s">
        <v>480</v>
      </c>
    </row>
    <row r="425" spans="5:8" ht="13.95" customHeight="1" x14ac:dyDescent="0.3">
      <c r="F425" s="68" t="s">
        <v>561</v>
      </c>
      <c r="G425" s="73">
        <f t="shared" si="9"/>
        <v>0</v>
      </c>
      <c r="H425" s="68" t="s">
        <v>481</v>
      </c>
    </row>
    <row r="426" spans="5:8" ht="13.95" customHeight="1" x14ac:dyDescent="0.3">
      <c r="F426" s="68" t="s">
        <v>562</v>
      </c>
      <c r="G426" s="73">
        <f t="shared" si="9"/>
        <v>0</v>
      </c>
      <c r="H426" s="68" t="s">
        <v>482</v>
      </c>
    </row>
    <row r="427" spans="5:8" ht="13.95" customHeight="1" x14ac:dyDescent="0.3">
      <c r="F427" s="46"/>
      <c r="G427" s="46"/>
      <c r="H427" s="46"/>
    </row>
    <row r="428" spans="5:8" ht="13.95" customHeight="1" x14ac:dyDescent="0.3">
      <c r="E428" s="53" t="s">
        <v>554</v>
      </c>
      <c r="F428" s="46"/>
      <c r="G428" s="46"/>
      <c r="H428" s="46"/>
    </row>
    <row r="429" spans="5:8" ht="13.95" customHeight="1" x14ac:dyDescent="0.3">
      <c r="F429" s="46" t="str">
        <f xml:space="preserve"> Inputs!E$47</f>
        <v>Recycled bedrukt papier per kg output (gerecycled papier), hernieuwbare energie, biomassa</v>
      </c>
      <c r="G429" s="46">
        <f xml:space="preserve"> Inputs!F$47</f>
        <v>11.555</v>
      </c>
      <c r="H429" s="46" t="str">
        <f xml:space="preserve"> Inputs!G$47</f>
        <v>MJ-eq / kg</v>
      </c>
    </row>
    <row r="430" spans="5:8" ht="13.95" customHeight="1" x14ac:dyDescent="0.3">
      <c r="F430" s="46" t="str">
        <f xml:space="preserve"> Inputs!E$48</f>
        <v>Recycled bedrukt papier per kg output (gerecycled papier), hernieuwbare energie, geothermie</v>
      </c>
      <c r="G430" s="46">
        <f xml:space="preserve"> Inputs!F$48</f>
        <v>4.3588000000000002E-2</v>
      </c>
      <c r="H430" s="46" t="str">
        <f xml:space="preserve"> Inputs!G$48</f>
        <v>MJ-eq / kg</v>
      </c>
    </row>
    <row r="431" spans="5:8" ht="13.95" customHeight="1" x14ac:dyDescent="0.3">
      <c r="F431" s="46" t="str">
        <f xml:space="preserve"> Inputs!E$49</f>
        <v>Recycled bedrukt papier per kg output (gerecycled papier), hernieuwbare energie, zon</v>
      </c>
      <c r="G431" s="46">
        <f xml:space="preserve"> Inputs!F$49</f>
        <v>2.9163000000000003E-4</v>
      </c>
      <c r="H431" s="46" t="str">
        <f xml:space="preserve"> Inputs!G$49</f>
        <v>MJ-eq / kg</v>
      </c>
    </row>
    <row r="432" spans="5:8" ht="13.95" customHeight="1" x14ac:dyDescent="0.3">
      <c r="F432" s="46" t="str">
        <f xml:space="preserve"> Inputs!E$50</f>
        <v>Recycled bedrukt papier per kg output (gerecycled papier), hernieuwbare energie, water</v>
      </c>
      <c r="G432" s="46">
        <f xml:space="preserve"> Inputs!F$50</f>
        <v>1.2242999999999999</v>
      </c>
      <c r="H432" s="46" t="str">
        <f xml:space="preserve"> Inputs!G$50</f>
        <v>MJ-eq / kg</v>
      </c>
    </row>
    <row r="433" spans="6:8" ht="13.95" customHeight="1" x14ac:dyDescent="0.3">
      <c r="F433" s="46" t="str">
        <f xml:space="preserve"> Inputs!E$51</f>
        <v>Recycled bedrukt papier per kg output (gerecycled papier), hernieuwbare energie, wind</v>
      </c>
      <c r="G433" s="46">
        <f xml:space="preserve"> Inputs!F$51</f>
        <v>0.63278999999999996</v>
      </c>
      <c r="H433" s="46" t="str">
        <f xml:space="preserve"> Inputs!G$51</f>
        <v>MJ-eq / kg</v>
      </c>
    </row>
    <row r="434" spans="6:8" ht="1.95" customHeight="1" x14ac:dyDescent="0.3">
      <c r="F434" s="46">
        <f xml:space="preserve"> Inputs!E$52</f>
        <v>0</v>
      </c>
      <c r="G434" s="46">
        <f xml:space="preserve"> Inputs!F$52</f>
        <v>0</v>
      </c>
      <c r="H434" s="46">
        <f xml:space="preserve"> Inputs!G$52</f>
        <v>0</v>
      </c>
    </row>
    <row r="435" spans="6:8" ht="13.95" customHeight="1" x14ac:dyDescent="0.3">
      <c r="F435" s="46" t="str">
        <f xml:space="preserve"> Inputs!E$53</f>
        <v>Recycled bedrukt papier per kg output (gerecycled papier), niet-hernieuwbare energie, fossiel</v>
      </c>
      <c r="G435" s="46">
        <f xml:space="preserve"> Inputs!F$53</f>
        <v>13.451000000000001</v>
      </c>
      <c r="H435" s="46" t="str">
        <f xml:space="preserve"> Inputs!G$53</f>
        <v>MJ-eq / kg</v>
      </c>
    </row>
    <row r="436" spans="6:8" ht="13.95" customHeight="1" x14ac:dyDescent="0.3">
      <c r="F436" s="46" t="str">
        <f xml:space="preserve"> Inputs!E$54</f>
        <v>Recycled bedrukt papier per kg output (gerecycled papier), niet-hernieuwbare energie, nucleair</v>
      </c>
      <c r="G436" s="46">
        <f xml:space="preserve"> Inputs!F$54</f>
        <v>6.6791</v>
      </c>
      <c r="H436" s="46" t="str">
        <f xml:space="preserve"> Inputs!G$54</f>
        <v>MJ-eq / kg</v>
      </c>
    </row>
    <row r="437" spans="6:8" ht="13.95" customHeight="1" x14ac:dyDescent="0.3">
      <c r="F437" s="46" t="str">
        <f xml:space="preserve"> Inputs!E$55</f>
        <v>Recycled bedrukt papier per kg output (gerecycled papier), niet-hernieuwbare energie, oerbos</v>
      </c>
      <c r="G437" s="46">
        <f xml:space="preserve"> Inputs!F$55</f>
        <v>1.796E-2</v>
      </c>
      <c r="H437" s="46" t="str">
        <f xml:space="preserve"> Inputs!G$55</f>
        <v>MJ-eq / kg</v>
      </c>
    </row>
    <row r="438" spans="6:8" ht="1.95" customHeight="1" x14ac:dyDescent="0.3">
      <c r="F438" s="46">
        <f xml:space="preserve"> Inputs!E$56</f>
        <v>0</v>
      </c>
      <c r="G438" s="46">
        <f xml:space="preserve"> Inputs!F$56</f>
        <v>0</v>
      </c>
      <c r="H438" s="46">
        <f xml:space="preserve"> Inputs!G$56</f>
        <v>0</v>
      </c>
    </row>
    <row r="439" spans="6:8" ht="13.95" customHeight="1" x14ac:dyDescent="0.3">
      <c r="F439" s="46" t="str">
        <f xml:space="preserve"> Inputs!E$57</f>
        <v>Recycled bedrukt papier per kg output (gerecycled papier), water</v>
      </c>
      <c r="G439" s="46">
        <f xml:space="preserve"> Inputs!F$57</f>
        <v>2.1631999999999998E-2</v>
      </c>
      <c r="H439" s="46" t="str">
        <f xml:space="preserve"> Inputs!G$57</f>
        <v>m3 / kg</v>
      </c>
    </row>
    <row r="440" spans="6:8" ht="1.95" customHeight="1" x14ac:dyDescent="0.3">
      <c r="F440" s="46">
        <f xml:space="preserve"> Inputs!E$58</f>
        <v>0</v>
      </c>
      <c r="G440" s="46">
        <f xml:space="preserve"> Inputs!F$58</f>
        <v>0</v>
      </c>
      <c r="H440" s="46">
        <f xml:space="preserve"> Inputs!G$58</f>
        <v>0</v>
      </c>
    </row>
    <row r="441" spans="6:8" ht="13.95" customHeight="1" x14ac:dyDescent="0.3">
      <c r="F441" s="46" t="str">
        <f xml:space="preserve"> Inputs!E$59</f>
        <v>Recycled bedrukt papier per kg output (gerecycled papier), GWP100</v>
      </c>
      <c r="G441" s="46">
        <f xml:space="preserve"> Inputs!F$59</f>
        <v>1.1591</v>
      </c>
      <c r="H441" s="46" t="str">
        <f xml:space="preserve"> Inputs!G$59</f>
        <v>kg CO2-eq / kg</v>
      </c>
    </row>
    <row r="442" spans="6:8" ht="13.95" customHeight="1" x14ac:dyDescent="0.3">
      <c r="F442" s="46"/>
      <c r="G442" s="46"/>
      <c r="H442" s="46"/>
    </row>
    <row r="443" spans="6:8" ht="13.95" customHeight="1" x14ac:dyDescent="0.3">
      <c r="F443" s="68" t="s">
        <v>563</v>
      </c>
      <c r="G443" s="129">
        <f>SUM(G429:G433)</f>
        <v>13.455969629999998</v>
      </c>
      <c r="H443" s="68" t="s">
        <v>473</v>
      </c>
    </row>
    <row r="444" spans="6:8" ht="13.95" customHeight="1" x14ac:dyDescent="0.3">
      <c r="F444" s="68" t="s">
        <v>564</v>
      </c>
      <c r="G444" s="129">
        <f>SUM(G435:G437)</f>
        <v>20.148059999999997</v>
      </c>
      <c r="H444" s="68" t="s">
        <v>473</v>
      </c>
    </row>
    <row r="445" spans="6:8" ht="13.95" customHeight="1" x14ac:dyDescent="0.3">
      <c r="F445" s="68" t="s">
        <v>565</v>
      </c>
      <c r="G445" s="129">
        <f>G439</f>
        <v>2.1631999999999998E-2</v>
      </c>
      <c r="H445" s="68" t="s">
        <v>474</v>
      </c>
    </row>
    <row r="446" spans="6:8" ht="13.95" customHeight="1" x14ac:dyDescent="0.3">
      <c r="F446" s="68" t="s">
        <v>566</v>
      </c>
      <c r="G446" s="129">
        <f>G441</f>
        <v>1.1591</v>
      </c>
      <c r="H446" s="68" t="s">
        <v>475</v>
      </c>
    </row>
    <row r="447" spans="6:8" ht="1.95" customHeight="1" x14ac:dyDescent="0.3">
      <c r="F447" s="46"/>
      <c r="G447" s="130"/>
      <c r="H447" s="46"/>
    </row>
    <row r="448" spans="6:8" ht="13.95" customHeight="1" x14ac:dyDescent="0.3">
      <c r="F448" s="64" t="str">
        <f xml:space="preserve"> F$288</f>
        <v>Jaarlijkse gewicht recycled papier, huis-aan-huis (kg)</v>
      </c>
      <c r="G448" s="127">
        <f xml:space="preserve"> G$288</f>
        <v>172380</v>
      </c>
      <c r="H448" s="64" t="str">
        <f xml:space="preserve"> H$288</f>
        <v>kg / jaar</v>
      </c>
    </row>
    <row r="449" spans="5:8" ht="1.95" customHeight="1" x14ac:dyDescent="0.3">
      <c r="F449" s="46"/>
      <c r="G449" s="130"/>
      <c r="H449" s="46"/>
    </row>
    <row r="450" spans="5:8" ht="13.95" customHeight="1" x14ac:dyDescent="0.3">
      <c r="F450" s="68" t="s">
        <v>567</v>
      </c>
      <c r="G450" s="129">
        <f>G443*$G$448</f>
        <v>2319540.0448193997</v>
      </c>
      <c r="H450" s="68" t="s">
        <v>480</v>
      </c>
    </row>
    <row r="451" spans="5:8" ht="13.95" customHeight="1" x14ac:dyDescent="0.3">
      <c r="F451" s="68" t="s">
        <v>568</v>
      </c>
      <c r="G451" s="129">
        <f t="shared" ref="G451:G453" si="10">G444*$G$448</f>
        <v>3473122.5827999995</v>
      </c>
      <c r="H451" s="68" t="s">
        <v>480</v>
      </c>
    </row>
    <row r="452" spans="5:8" ht="13.95" customHeight="1" x14ac:dyDescent="0.3">
      <c r="F452" s="68" t="s">
        <v>569</v>
      </c>
      <c r="G452" s="129">
        <f t="shared" si="10"/>
        <v>3728.9241599999996</v>
      </c>
      <c r="H452" s="68" t="s">
        <v>481</v>
      </c>
    </row>
    <row r="453" spans="5:8" ht="13.95" customHeight="1" x14ac:dyDescent="0.3">
      <c r="F453" s="68" t="s">
        <v>570</v>
      </c>
      <c r="G453" s="129">
        <f t="shared" si="10"/>
        <v>199805.658</v>
      </c>
      <c r="H453" s="68" t="s">
        <v>482</v>
      </c>
    </row>
    <row r="454" spans="5:8" ht="13.95" customHeight="1" x14ac:dyDescent="0.3">
      <c r="F454" s="46"/>
      <c r="G454" s="46"/>
      <c r="H454" s="46"/>
    </row>
    <row r="455" spans="5:8" ht="13.95" customHeight="1" x14ac:dyDescent="0.3">
      <c r="E455" s="53" t="s">
        <v>572</v>
      </c>
      <c r="F455" s="46"/>
      <c r="G455" s="46"/>
      <c r="H455" s="46"/>
    </row>
    <row r="456" spans="5:8" ht="13.95" customHeight="1" x14ac:dyDescent="0.3">
      <c r="F456" s="64" t="str">
        <f xml:space="preserve"> F$423</f>
        <v>Impact Virgin krantenpapier, HAH. per jaar, hernieuwbare energie</v>
      </c>
      <c r="G456" s="67">
        <f xml:space="preserve"> G$423</f>
        <v>0</v>
      </c>
      <c r="H456" s="64" t="str">
        <f xml:space="preserve"> H$423</f>
        <v>MJ / jaar</v>
      </c>
    </row>
    <row r="457" spans="5:8" ht="13.95" customHeight="1" x14ac:dyDescent="0.3">
      <c r="F457" s="64" t="str">
        <f xml:space="preserve"> F$424</f>
        <v>Impact Virgin krantenpapier, HAH. per jaar, niet-hernieuwbare energie</v>
      </c>
      <c r="G457" s="67">
        <f xml:space="preserve"> G$424</f>
        <v>0</v>
      </c>
      <c r="H457" s="64" t="str">
        <f xml:space="preserve"> H$424</f>
        <v>MJ / jaar</v>
      </c>
    </row>
    <row r="458" spans="5:8" ht="13.95" customHeight="1" x14ac:dyDescent="0.3">
      <c r="F458" s="64" t="str">
        <f xml:space="preserve"> F$425</f>
        <v>Impact Virgin krantenpapier, HAH. per jaar, water</v>
      </c>
      <c r="G458" s="67">
        <f xml:space="preserve"> G$425</f>
        <v>0</v>
      </c>
      <c r="H458" s="64" t="str">
        <f xml:space="preserve"> H$425</f>
        <v>M3 / jaar</v>
      </c>
    </row>
    <row r="459" spans="5:8" ht="13.95" customHeight="1" x14ac:dyDescent="0.3">
      <c r="F459" s="64" t="str">
        <f xml:space="preserve"> F$426</f>
        <v>Impact Virgin krantenpapier, HAH. per jaar, GWP100</v>
      </c>
      <c r="G459" s="67">
        <f xml:space="preserve"> G$426</f>
        <v>0</v>
      </c>
      <c r="H459" s="64" t="str">
        <f xml:space="preserve"> H$426</f>
        <v>kg CO2-eq / jaar</v>
      </c>
    </row>
    <row r="460" spans="5:8" ht="1.95" customHeight="1" x14ac:dyDescent="0.3">
      <c r="F460" s="46"/>
      <c r="G460" s="46"/>
      <c r="H460" s="46"/>
    </row>
    <row r="461" spans="5:8" ht="13.95" customHeight="1" x14ac:dyDescent="0.3">
      <c r="F461" s="64" t="str">
        <f xml:space="preserve"> F$450</f>
        <v>Impact Gerecycled krantenpapier, HAH. per jaar, hernieuwbare energie</v>
      </c>
      <c r="G461" s="67">
        <f xml:space="preserve"> G$450</f>
        <v>2319540.0448193997</v>
      </c>
      <c r="H461" s="64" t="str">
        <f xml:space="preserve"> H$450</f>
        <v>MJ / jaar</v>
      </c>
    </row>
    <row r="462" spans="5:8" ht="13.95" customHeight="1" x14ac:dyDescent="0.3">
      <c r="F462" s="64" t="str">
        <f xml:space="preserve"> F$451</f>
        <v>Impact Gerecycled krantenpapier, HAH. per jaar, niet-hernieuwbare energie</v>
      </c>
      <c r="G462" s="67">
        <f xml:space="preserve"> G$451</f>
        <v>3473122.5827999995</v>
      </c>
      <c r="H462" s="64" t="str">
        <f xml:space="preserve"> H$451</f>
        <v>MJ / jaar</v>
      </c>
    </row>
    <row r="463" spans="5:8" ht="13.95" customHeight="1" x14ac:dyDescent="0.3">
      <c r="F463" s="64" t="str">
        <f xml:space="preserve"> F$452</f>
        <v>Impact Gerecycled krantenpapier, HAH. per jaar, water</v>
      </c>
      <c r="G463" s="67">
        <f xml:space="preserve"> G$452</f>
        <v>3728.9241599999996</v>
      </c>
      <c r="H463" s="64" t="str">
        <f xml:space="preserve"> H$452</f>
        <v>M3 / jaar</v>
      </c>
    </row>
    <row r="464" spans="5:8" ht="13.95" customHeight="1" x14ac:dyDescent="0.3">
      <c r="F464" s="64" t="str">
        <f xml:space="preserve"> F$453</f>
        <v>Impact Gerecycled krantenpapier, HAH. per jaar, GWP100</v>
      </c>
      <c r="G464" s="67">
        <f xml:space="preserve"> G$453</f>
        <v>199805.658</v>
      </c>
      <c r="H464" s="64" t="str">
        <f xml:space="preserve"> H$453</f>
        <v>kg CO2-eq / jaar</v>
      </c>
    </row>
    <row r="465" spans="4:8" ht="1.95" customHeight="1" x14ac:dyDescent="0.3">
      <c r="F465" s="46"/>
      <c r="G465" s="46"/>
      <c r="H465" s="46"/>
    </row>
    <row r="466" spans="4:8" ht="13.95" customHeight="1" x14ac:dyDescent="0.3">
      <c r="F466" s="80" t="s">
        <v>573</v>
      </c>
      <c r="G466" s="89">
        <f>G456+G461</f>
        <v>2319540.0448193997</v>
      </c>
      <c r="H466" s="80" t="s">
        <v>480</v>
      </c>
    </row>
    <row r="467" spans="4:8" ht="13.95" customHeight="1" x14ac:dyDescent="0.3">
      <c r="F467" s="80" t="s">
        <v>574</v>
      </c>
      <c r="G467" s="89">
        <f t="shared" ref="G467:G469" si="11">G457+G462</f>
        <v>3473122.5827999995</v>
      </c>
      <c r="H467" s="80" t="s">
        <v>480</v>
      </c>
    </row>
    <row r="468" spans="4:8" ht="13.95" customHeight="1" x14ac:dyDescent="0.3">
      <c r="F468" s="80" t="s">
        <v>575</v>
      </c>
      <c r="G468" s="89">
        <f t="shared" si="11"/>
        <v>3728.9241599999996</v>
      </c>
      <c r="H468" s="80" t="s">
        <v>481</v>
      </c>
    </row>
    <row r="469" spans="4:8" ht="13.95" customHeight="1" x14ac:dyDescent="0.3">
      <c r="F469" s="80" t="s">
        <v>576</v>
      </c>
      <c r="G469" s="89">
        <f t="shared" si="11"/>
        <v>199805.658</v>
      </c>
      <c r="H469" s="80" t="s">
        <v>482</v>
      </c>
    </row>
    <row r="470" spans="4:8" ht="13.95" customHeight="1" x14ac:dyDescent="0.3">
      <c r="F470" s="46"/>
      <c r="G470" s="46"/>
      <c r="H470" s="46"/>
    </row>
    <row r="471" spans="4:8" ht="13.95" customHeight="1" x14ac:dyDescent="0.3">
      <c r="D471" t="s">
        <v>488</v>
      </c>
      <c r="F471" s="46"/>
      <c r="G471" s="46"/>
      <c r="H471" s="46"/>
    </row>
    <row r="472" spans="4:8" ht="13.95" customHeight="1" x14ac:dyDescent="0.3">
      <c r="E472" s="53" t="s">
        <v>922</v>
      </c>
      <c r="F472" s="46"/>
      <c r="G472" s="46"/>
      <c r="H472" s="46"/>
    </row>
    <row r="473" spans="4:8" ht="13.95" customHeight="1" x14ac:dyDescent="0.3">
      <c r="F473" s="46" t="str">
        <f xml:space="preserve"> Inputs!E$92</f>
        <v>Virgin plastic folie, hernieuwbare energie, biomassa</v>
      </c>
      <c r="G473" s="74">
        <f xml:space="preserve"> Inputs!F$92</f>
        <v>1.8527</v>
      </c>
      <c r="H473" s="46" t="str">
        <f xml:space="preserve"> Inputs!G$92</f>
        <v>MJ-eq / kg</v>
      </c>
    </row>
    <row r="474" spans="4:8" ht="13.95" customHeight="1" x14ac:dyDescent="0.3">
      <c r="F474" s="46" t="str">
        <f xml:space="preserve"> Inputs!E$93</f>
        <v>Virgin plastic folie, hernieuwbare energie, geothermie</v>
      </c>
      <c r="G474" s="74">
        <f xml:space="preserve"> Inputs!F$93</f>
        <v>4.5129000000000002E-2</v>
      </c>
      <c r="H474" s="46" t="str">
        <f xml:space="preserve"> Inputs!G$93</f>
        <v>MJ-eq / kg</v>
      </c>
    </row>
    <row r="475" spans="4:8" ht="13.95" customHeight="1" x14ac:dyDescent="0.3">
      <c r="F475" s="46" t="str">
        <f xml:space="preserve"> Inputs!E$94</f>
        <v>Virgin plastic folie, hernieuwbare energie, zon</v>
      </c>
      <c r="G475" s="74">
        <f xml:space="preserve"> Inputs!F$94</f>
        <v>1.3131E-3</v>
      </c>
      <c r="H475" s="46" t="str">
        <f xml:space="preserve"> Inputs!G$94</f>
        <v>MJ-eq / kg</v>
      </c>
    </row>
    <row r="476" spans="4:8" ht="13.95" customHeight="1" x14ac:dyDescent="0.3">
      <c r="F476" s="46" t="str">
        <f xml:space="preserve"> Inputs!E$95</f>
        <v>Virgin plastic folie, hernieuwbare energie, water</v>
      </c>
      <c r="G476" s="74">
        <f xml:space="preserve"> Inputs!F$95</f>
        <v>1.3875999999999999</v>
      </c>
      <c r="H476" s="46" t="str">
        <f xml:space="preserve"> Inputs!G$95</f>
        <v>MJ-eq / kg</v>
      </c>
    </row>
    <row r="477" spans="4:8" ht="13.95" customHeight="1" x14ac:dyDescent="0.3">
      <c r="F477" s="46" t="str">
        <f xml:space="preserve"> Inputs!E$96</f>
        <v>Virgin plastic folie, hernieuwbare energie, wind</v>
      </c>
      <c r="G477" s="74">
        <f xml:space="preserve"> Inputs!F$96</f>
        <v>0.38163999999999998</v>
      </c>
      <c r="H477" s="46" t="str">
        <f xml:space="preserve"> Inputs!G$96</f>
        <v>MJ-eq / kg</v>
      </c>
    </row>
    <row r="478" spans="4:8" ht="1.95" customHeight="1" x14ac:dyDescent="0.3">
      <c r="F478" s="46"/>
      <c r="G478" s="74"/>
      <c r="H478" s="46"/>
    </row>
    <row r="479" spans="4:8" ht="13.95" customHeight="1" x14ac:dyDescent="0.3">
      <c r="F479" s="46" t="str">
        <f xml:space="preserve"> Inputs!E$98</f>
        <v>Virgin plastic folie, niet-hernieuwbare energie, fossiel</v>
      </c>
      <c r="G479" s="74">
        <f xml:space="preserve"> Inputs!F$98</f>
        <v>87.111000000000004</v>
      </c>
      <c r="H479" s="46" t="str">
        <f xml:space="preserve"> Inputs!G$98</f>
        <v>MJ-eq / kg</v>
      </c>
    </row>
    <row r="480" spans="4:8" ht="13.95" customHeight="1" x14ac:dyDescent="0.3">
      <c r="F480" s="46" t="str">
        <f xml:space="preserve"> Inputs!E$99</f>
        <v>Virgin plastic folie, niet-hernieuwbare energie, nucleair</v>
      </c>
      <c r="G480" s="74">
        <f xml:space="preserve"> Inputs!F$99</f>
        <v>5.8593999999999999</v>
      </c>
      <c r="H480" s="46" t="str">
        <f xml:space="preserve"> Inputs!G$99</f>
        <v>MJ-eq / kg</v>
      </c>
    </row>
    <row r="481" spans="6:8" ht="13.95" customHeight="1" x14ac:dyDescent="0.3">
      <c r="F481" s="46" t="str">
        <f xml:space="preserve"> Inputs!E$100</f>
        <v>Virgin plastic folie, niet-hernieuwbare energie, oerbos</v>
      </c>
      <c r="G481" s="74">
        <f xml:space="preserve"> Inputs!F$100</f>
        <v>1.4170999999999999E-3</v>
      </c>
      <c r="H481" s="46" t="str">
        <f xml:space="preserve"> Inputs!G$100</f>
        <v>MJ-eq / kg</v>
      </c>
    </row>
    <row r="482" spans="6:8" ht="1.95" customHeight="1" x14ac:dyDescent="0.3">
      <c r="F482" s="46"/>
      <c r="G482" s="74"/>
      <c r="H482" s="46"/>
    </row>
    <row r="483" spans="6:8" ht="13.95" customHeight="1" x14ac:dyDescent="0.3">
      <c r="F483" s="46" t="str">
        <f xml:space="preserve"> Inputs!E$102</f>
        <v>Virgin plastic folie, water</v>
      </c>
      <c r="G483" s="74">
        <f xml:space="preserve"> Inputs!F$102</f>
        <v>1.3081000000000001E-2</v>
      </c>
      <c r="H483" s="46" t="str">
        <f xml:space="preserve"> Inputs!G$102</f>
        <v>m3 / kg</v>
      </c>
    </row>
    <row r="484" spans="6:8" ht="1.95" customHeight="1" x14ac:dyDescent="0.3">
      <c r="F484" s="46"/>
      <c r="G484" s="74"/>
      <c r="H484" s="46"/>
    </row>
    <row r="485" spans="6:8" ht="13.95" customHeight="1" x14ac:dyDescent="0.3">
      <c r="F485" s="46" t="str">
        <f xml:space="preserve"> Inputs!E$104</f>
        <v>Virgin plastic folie, GWP100</v>
      </c>
      <c r="G485" s="74">
        <f xml:space="preserve"> Inputs!F$104</f>
        <v>3.1406999999999998</v>
      </c>
      <c r="H485" s="46" t="str">
        <f xml:space="preserve"> Inputs!G$104</f>
        <v>kg CO2-eq / kg</v>
      </c>
    </row>
    <row r="486" spans="6:8" ht="13.95" customHeight="1" x14ac:dyDescent="0.3">
      <c r="F486" s="46"/>
      <c r="G486" s="46"/>
      <c r="H486" s="46"/>
    </row>
    <row r="487" spans="6:8" ht="13.95" customHeight="1" x14ac:dyDescent="0.3">
      <c r="F487" s="68" t="s">
        <v>924</v>
      </c>
      <c r="G487" s="75">
        <f>SUM(G473:G477)</f>
        <v>3.6683820999999996</v>
      </c>
      <c r="H487" s="68" t="s">
        <v>473</v>
      </c>
    </row>
    <row r="488" spans="6:8" ht="13.95" customHeight="1" x14ac:dyDescent="0.3">
      <c r="F488" s="68" t="s">
        <v>925</v>
      </c>
      <c r="G488" s="75">
        <f>SUM(G479:G481)</f>
        <v>92.971817099999996</v>
      </c>
      <c r="H488" s="68" t="s">
        <v>473</v>
      </c>
    </row>
    <row r="489" spans="6:8" ht="13.95" customHeight="1" x14ac:dyDescent="0.3">
      <c r="F489" s="68" t="s">
        <v>926</v>
      </c>
      <c r="G489" s="75">
        <f>G483</f>
        <v>1.3081000000000001E-2</v>
      </c>
      <c r="H489" s="68" t="s">
        <v>474</v>
      </c>
    </row>
    <row r="490" spans="6:8" ht="13.95" customHeight="1" x14ac:dyDescent="0.3">
      <c r="F490" s="68" t="s">
        <v>927</v>
      </c>
      <c r="G490" s="75">
        <f>G485</f>
        <v>3.1406999999999998</v>
      </c>
      <c r="H490" s="68" t="s">
        <v>475</v>
      </c>
    </row>
    <row r="491" spans="6:8" ht="1.95" customHeight="1" x14ac:dyDescent="0.3">
      <c r="F491" s="46"/>
      <c r="G491" s="46"/>
      <c r="H491" s="46"/>
    </row>
    <row r="492" spans="6:8" ht="13.95" customHeight="1" x14ac:dyDescent="0.3">
      <c r="F492" s="64" t="str">
        <f xml:space="preserve"> F$321</f>
        <v>Jaarlijkse gewicht virgin plastic (kg)</v>
      </c>
      <c r="G492" s="67">
        <f xml:space="preserve"> G$321</f>
        <v>2968.16</v>
      </c>
      <c r="H492" s="64" t="str">
        <f xml:space="preserve"> H$321</f>
        <v>kg / jaar</v>
      </c>
    </row>
    <row r="493" spans="6:8" ht="1.95" customHeight="1" x14ac:dyDescent="0.3">
      <c r="F493" s="46"/>
      <c r="G493" s="46"/>
      <c r="H493" s="46"/>
    </row>
    <row r="494" spans="6:8" ht="13.95" customHeight="1" x14ac:dyDescent="0.3">
      <c r="F494" s="68" t="s">
        <v>928</v>
      </c>
      <c r="G494" s="73">
        <f>G487*$G$492</f>
        <v>10888.345013935999</v>
      </c>
      <c r="H494" s="68" t="s">
        <v>480</v>
      </c>
    </row>
    <row r="495" spans="6:8" ht="13.95" customHeight="1" x14ac:dyDescent="0.3">
      <c r="F495" s="68" t="s">
        <v>929</v>
      </c>
      <c r="G495" s="73">
        <f t="shared" ref="G495:G497" si="12">G488*$G$492</f>
        <v>275955.22864353599</v>
      </c>
      <c r="H495" s="68" t="s">
        <v>480</v>
      </c>
    </row>
    <row r="496" spans="6:8" ht="13.95" customHeight="1" x14ac:dyDescent="0.3">
      <c r="F496" s="68" t="s">
        <v>930</v>
      </c>
      <c r="G496" s="73">
        <f t="shared" si="12"/>
        <v>38.826500959999997</v>
      </c>
      <c r="H496" s="68" t="s">
        <v>481</v>
      </c>
    </row>
    <row r="497" spans="5:10" ht="13.95" customHeight="1" x14ac:dyDescent="0.3">
      <c r="F497" s="68" t="s">
        <v>931</v>
      </c>
      <c r="G497" s="73">
        <f t="shared" si="12"/>
        <v>9322.1001119999983</v>
      </c>
      <c r="H497" s="68" t="s">
        <v>482</v>
      </c>
    </row>
    <row r="498" spans="5:10" ht="13.95" customHeight="1" x14ac:dyDescent="0.3">
      <c r="F498" s="46"/>
      <c r="G498" s="46"/>
      <c r="H498" s="46"/>
    </row>
    <row r="499" spans="5:10" ht="13.95" customHeight="1" x14ac:dyDescent="0.3">
      <c r="E499" s="53" t="s">
        <v>923</v>
      </c>
      <c r="F499" s="46"/>
      <c r="G499" s="46"/>
      <c r="H499" s="46"/>
    </row>
    <row r="500" spans="5:10" ht="13.95" customHeight="1" x14ac:dyDescent="0.3">
      <c r="F500" s="46" t="str">
        <f xml:space="preserve"> Inputs!E$107</f>
        <v>Recycled PE granulaat, hernieuwbare energie, biomassa</v>
      </c>
      <c r="G500" s="74">
        <f xml:space="preserve"> Inputs!F$107</f>
        <v>0.64571000000000001</v>
      </c>
      <c r="H500" s="46" t="str">
        <f xml:space="preserve"> Inputs!G$107</f>
        <v>MJ-eq / kg</v>
      </c>
      <c r="I500" s="46"/>
      <c r="J500" s="46"/>
    </row>
    <row r="501" spans="5:10" ht="13.95" customHeight="1" x14ac:dyDescent="0.3">
      <c r="F501" s="46" t="str">
        <f xml:space="preserve"> Inputs!E$108</f>
        <v>Recycled PE granulaat, hernieuwbare energie, geothermie</v>
      </c>
      <c r="G501" s="74">
        <f xml:space="preserve"> Inputs!F$108</f>
        <v>1.5873000000000002E-2</v>
      </c>
      <c r="H501" s="46" t="str">
        <f xml:space="preserve"> Inputs!G$108</f>
        <v>MJ-eq / kg</v>
      </c>
      <c r="I501" s="46"/>
      <c r="J501" s="46"/>
    </row>
    <row r="502" spans="5:10" ht="13.95" customHeight="1" x14ac:dyDescent="0.3">
      <c r="F502" s="46" t="str">
        <f xml:space="preserve"> Inputs!E$109</f>
        <v>Recycled PE granulaat, hernieuwbare energie, zon</v>
      </c>
      <c r="G502" s="74">
        <f xml:space="preserve"> Inputs!F$109</f>
        <v>0.10088</v>
      </c>
      <c r="H502" s="46" t="str">
        <f xml:space="preserve"> Inputs!G$109</f>
        <v>MJ-eq / kg</v>
      </c>
      <c r="I502" s="46"/>
      <c r="J502" s="46"/>
    </row>
    <row r="503" spans="5:10" ht="13.95" customHeight="1" x14ac:dyDescent="0.3">
      <c r="F503" s="46" t="str">
        <f xml:space="preserve"> Inputs!E$110</f>
        <v>Recycled PE granulaat, hernieuwbare energie, water</v>
      </c>
      <c r="G503" s="74">
        <f xml:space="preserve"> Inputs!F$110</f>
        <v>0.57150999999999996</v>
      </c>
      <c r="H503" s="46" t="str">
        <f xml:space="preserve"> Inputs!G$110</f>
        <v>MJ-eq / kg</v>
      </c>
      <c r="I503" s="46"/>
      <c r="J503" s="46"/>
    </row>
    <row r="504" spans="5:10" ht="13.95" customHeight="1" x14ac:dyDescent="0.3">
      <c r="F504" s="46" t="str">
        <f xml:space="preserve"> Inputs!E$111</f>
        <v>Recycled PE granulaat, hernieuwbare energie, wind</v>
      </c>
      <c r="G504" s="74">
        <f xml:space="preserve"> Inputs!F$111</f>
        <v>0.21243999999999999</v>
      </c>
      <c r="H504" s="46" t="str">
        <f xml:space="preserve"> Inputs!G$111</f>
        <v>MJ-eq / kg</v>
      </c>
      <c r="I504" s="46"/>
      <c r="J504" s="46"/>
    </row>
    <row r="505" spans="5:10" ht="1.95" customHeight="1" x14ac:dyDescent="0.3">
      <c r="F505" s="46"/>
      <c r="G505" s="74"/>
      <c r="H505" s="46"/>
      <c r="I505" s="46"/>
      <c r="J505" s="46"/>
    </row>
    <row r="506" spans="5:10" ht="13.95" customHeight="1" x14ac:dyDescent="0.3">
      <c r="F506" s="46" t="str">
        <f xml:space="preserve"> Inputs!E$113</f>
        <v>Recycled PE granulaat, niet-hernieuwbare energie, fossiel</v>
      </c>
      <c r="G506" s="74">
        <f xml:space="preserve"> Inputs!F$113</f>
        <v>6.2297000000000002</v>
      </c>
      <c r="H506" s="46" t="str">
        <f xml:space="preserve"> Inputs!G$113</f>
        <v>MJ-eq / kg</v>
      </c>
      <c r="I506" s="46"/>
      <c r="J506" s="46"/>
    </row>
    <row r="507" spans="5:10" ht="13.95" customHeight="1" x14ac:dyDescent="0.3">
      <c r="F507" s="46" t="str">
        <f xml:space="preserve"> Inputs!E$114</f>
        <v>Recycled PE granulaat, niet-hernieuwbare energie, nucleair</v>
      </c>
      <c r="G507" s="74">
        <f xml:space="preserve"> Inputs!F$114</f>
        <v>2.3791000000000002</v>
      </c>
      <c r="H507" s="46" t="str">
        <f xml:space="preserve"> Inputs!G$114</f>
        <v>MJ-eq / kg</v>
      </c>
      <c r="I507" s="46"/>
      <c r="J507" s="46"/>
    </row>
    <row r="508" spans="5:10" ht="13.95" customHeight="1" x14ac:dyDescent="0.3">
      <c r="F508" s="46" t="str">
        <f xml:space="preserve"> Inputs!E$115</f>
        <v>Recycled PE granulaat, niet-hernieuwbare energie, oerbos</v>
      </c>
      <c r="G508" s="74">
        <f xml:space="preserve"> Inputs!F$115</f>
        <v>5.0013000000000002E-2</v>
      </c>
      <c r="H508" s="46" t="str">
        <f xml:space="preserve"> Inputs!G$115</f>
        <v>MJ-eq / kg</v>
      </c>
      <c r="I508" s="46"/>
      <c r="J508" s="46"/>
    </row>
    <row r="509" spans="5:10" ht="1.95" customHeight="1" x14ac:dyDescent="0.3">
      <c r="F509" s="46"/>
      <c r="G509" s="74"/>
      <c r="H509" s="46"/>
      <c r="I509" s="46"/>
      <c r="J509" s="46"/>
    </row>
    <row r="510" spans="5:10" ht="13.95" customHeight="1" x14ac:dyDescent="0.3">
      <c r="F510" s="46" t="str">
        <f xml:space="preserve"> Inputs!E$117</f>
        <v>Recycled PE granulaat, water</v>
      </c>
      <c r="G510" s="74">
        <f xml:space="preserve"> Inputs!F$117</f>
        <v>1.3717E-2</v>
      </c>
      <c r="H510" s="46" t="str">
        <f xml:space="preserve"> Inputs!G$117</f>
        <v>m3 / kg</v>
      </c>
      <c r="I510" s="46"/>
      <c r="J510" s="46"/>
    </row>
    <row r="511" spans="5:10" ht="1.95" customHeight="1" x14ac:dyDescent="0.3">
      <c r="F511" s="46"/>
      <c r="G511" s="74"/>
      <c r="H511" s="46"/>
      <c r="I511" s="46"/>
      <c r="J511" s="46"/>
    </row>
    <row r="512" spans="5:10" ht="13.95" customHeight="1" x14ac:dyDescent="0.3">
      <c r="F512" s="46" t="str">
        <f xml:space="preserve"> Inputs!E$119</f>
        <v>Recycled PE granulaat, GWP100</v>
      </c>
      <c r="G512" s="74">
        <f xml:space="preserve"> Inputs!F$119</f>
        <v>0.57764000000000004</v>
      </c>
      <c r="H512" s="46" t="str">
        <f xml:space="preserve"> Inputs!G$119</f>
        <v>kg CO2-eq / kg</v>
      </c>
      <c r="I512" s="46"/>
      <c r="J512" s="46"/>
    </row>
    <row r="513" spans="6:8" ht="13.95" customHeight="1" x14ac:dyDescent="0.3">
      <c r="F513" s="46"/>
      <c r="G513" s="46"/>
      <c r="H513" s="46"/>
    </row>
    <row r="514" spans="6:8" ht="13.95" customHeight="1" x14ac:dyDescent="0.3">
      <c r="F514" s="46" t="str">
        <f xml:space="preserve"> Inputs!E$122</f>
        <v>Plastic folie extrusie, hernieuwbare energie, biomassa</v>
      </c>
      <c r="G514" s="74">
        <f xml:space="preserve"> Inputs!F$122</f>
        <v>1.4347000000000001</v>
      </c>
      <c r="H514" s="46" t="str">
        <f xml:space="preserve"> Inputs!G$122</f>
        <v>MJ-eq / kg</v>
      </c>
    </row>
    <row r="515" spans="6:8" ht="13.95" customHeight="1" x14ac:dyDescent="0.3">
      <c r="F515" s="46" t="str">
        <f xml:space="preserve"> Inputs!E$123</f>
        <v>Plastic folie extrusie, hernieuwbare energie, geothermie</v>
      </c>
      <c r="G515" s="74">
        <f xml:space="preserve"> Inputs!F$123</f>
        <v>1.7413000000000001E-2</v>
      </c>
      <c r="H515" s="46" t="str">
        <f xml:space="preserve"> Inputs!G$123</f>
        <v>MJ-eq / kg</v>
      </c>
    </row>
    <row r="516" spans="6:8" ht="13.95" customHeight="1" x14ac:dyDescent="0.3">
      <c r="F516" s="46" t="str">
        <f xml:space="preserve"> Inputs!E$124</f>
        <v>Plastic folie extrusie, hernieuwbare energie, zon</v>
      </c>
      <c r="G516" s="79">
        <f xml:space="preserve"> Inputs!F$124</f>
        <v>2.5543000000000001E-4</v>
      </c>
      <c r="H516" s="46" t="str">
        <f xml:space="preserve"> Inputs!G$124</f>
        <v>MJ-eq / kg</v>
      </c>
    </row>
    <row r="517" spans="6:8" ht="13.95" customHeight="1" x14ac:dyDescent="0.3">
      <c r="F517" s="46" t="str">
        <f xml:space="preserve"> Inputs!E$125</f>
        <v>Plastic folie extrusie, hernieuwbare energie, water</v>
      </c>
      <c r="G517" s="74">
        <f xml:space="preserve"> Inputs!F$125</f>
        <v>0.51980999999999999</v>
      </c>
      <c r="H517" s="46" t="str">
        <f xml:space="preserve"> Inputs!G$125</f>
        <v>MJ-eq / kg</v>
      </c>
    </row>
    <row r="518" spans="6:8" ht="13.95" customHeight="1" x14ac:dyDescent="0.3">
      <c r="F518" s="46" t="str">
        <f xml:space="preserve"> Inputs!E$126</f>
        <v>Plastic folie extrusie, hernieuwbare energie, wind</v>
      </c>
      <c r="G518" s="74">
        <f xml:space="preserve"> Inputs!F$126</f>
        <v>0.25369000000000003</v>
      </c>
      <c r="H518" s="46" t="str">
        <f xml:space="preserve"> Inputs!G$126</f>
        <v>MJ-eq / kg</v>
      </c>
    </row>
    <row r="519" spans="6:8" ht="1.95" customHeight="1" x14ac:dyDescent="0.3">
      <c r="F519" s="46"/>
      <c r="G519" s="74"/>
      <c r="H519" s="46"/>
    </row>
    <row r="520" spans="6:8" ht="13.95" customHeight="1" x14ac:dyDescent="0.3">
      <c r="F520" s="46" t="str">
        <f xml:space="preserve"> Inputs!E$128</f>
        <v>Plastic folie extrusie, niet-hernieuwbare energie, fossiel</v>
      </c>
      <c r="G520" s="74">
        <f xml:space="preserve"> Inputs!F$128</f>
        <v>5.1113</v>
      </c>
      <c r="H520" s="46" t="str">
        <f xml:space="preserve"> Inputs!G$128</f>
        <v>MJ-eq / kg</v>
      </c>
    </row>
    <row r="521" spans="6:8" ht="13.95" customHeight="1" x14ac:dyDescent="0.3">
      <c r="F521" s="46" t="str">
        <f xml:space="preserve"> Inputs!E$129</f>
        <v>Plastic folie extrusie, niet-hernieuwbare energie, nucleair</v>
      </c>
      <c r="G521" s="74">
        <f xml:space="preserve"> Inputs!F$129</f>
        <v>3.1602999999999999</v>
      </c>
      <c r="H521" s="46" t="str">
        <f xml:space="preserve"> Inputs!G$129</f>
        <v>MJ-eq / kg</v>
      </c>
    </row>
    <row r="522" spans="6:8" ht="13.95" customHeight="1" x14ac:dyDescent="0.3">
      <c r="F522" s="46" t="str">
        <f xml:space="preserve"> Inputs!E$130</f>
        <v>Plastic folie extrusie, niet-hernieuwbare energie, oerbos</v>
      </c>
      <c r="G522" s="79">
        <f xml:space="preserve"> Inputs!F$130</f>
        <v>3.7244999999999997E-4</v>
      </c>
      <c r="H522" s="46" t="str">
        <f xml:space="preserve"> Inputs!G$130</f>
        <v>MJ-eq / kg</v>
      </c>
    </row>
    <row r="523" spans="6:8" ht="1.95" customHeight="1" x14ac:dyDescent="0.3">
      <c r="F523" s="46"/>
      <c r="G523" s="74"/>
      <c r="H523" s="46"/>
    </row>
    <row r="524" spans="6:8" ht="13.95" customHeight="1" x14ac:dyDescent="0.3">
      <c r="F524" s="46" t="str">
        <f xml:space="preserve"> Inputs!E$132</f>
        <v>Plastic folie extrusie, water</v>
      </c>
      <c r="G524" s="79">
        <f xml:space="preserve"> Inputs!F$132</f>
        <v>3.5967999999999998E-3</v>
      </c>
      <c r="H524" s="46" t="str">
        <f xml:space="preserve"> Inputs!G$132</f>
        <v>m3 / kg</v>
      </c>
    </row>
    <row r="525" spans="6:8" ht="1.95" customHeight="1" x14ac:dyDescent="0.3">
      <c r="F525" s="46"/>
      <c r="G525" s="74"/>
      <c r="H525" s="46"/>
    </row>
    <row r="526" spans="6:8" ht="13.95" customHeight="1" x14ac:dyDescent="0.3">
      <c r="F526" s="46" t="str">
        <f xml:space="preserve"> Inputs!E$134</f>
        <v>Plastic folie extrusie, GWP100</v>
      </c>
      <c r="G526" s="74">
        <f xml:space="preserve"> Inputs!F$134</f>
        <v>0.40900999999999998</v>
      </c>
      <c r="H526" s="46" t="str">
        <f xml:space="preserve"> Inputs!G$134</f>
        <v>kg CO2-eq / kg</v>
      </c>
    </row>
    <row r="527" spans="6:8" ht="13.95" customHeight="1" x14ac:dyDescent="0.3">
      <c r="F527" s="46"/>
      <c r="G527" s="46"/>
      <c r="H527" s="46"/>
    </row>
    <row r="528" spans="6:8" ht="13.95" customHeight="1" x14ac:dyDescent="0.3">
      <c r="F528" s="80" t="s">
        <v>932</v>
      </c>
      <c r="G528" s="75">
        <f>G500+G514</f>
        <v>2.0804100000000001</v>
      </c>
      <c r="H528" s="80" t="s">
        <v>473</v>
      </c>
    </row>
    <row r="529" spans="6:8" ht="13.95" customHeight="1" x14ac:dyDescent="0.3">
      <c r="F529" s="80" t="s">
        <v>933</v>
      </c>
      <c r="G529" s="75">
        <f t="shared" ref="G529:G540" si="13">G501+G515</f>
        <v>3.3286000000000003E-2</v>
      </c>
      <c r="H529" s="80" t="s">
        <v>473</v>
      </c>
    </row>
    <row r="530" spans="6:8" ht="13.95" customHeight="1" x14ac:dyDescent="0.3">
      <c r="F530" s="80" t="s">
        <v>934</v>
      </c>
      <c r="G530" s="75">
        <f t="shared" si="13"/>
        <v>0.10113543</v>
      </c>
      <c r="H530" s="80" t="s">
        <v>473</v>
      </c>
    </row>
    <row r="531" spans="6:8" ht="13.95" customHeight="1" x14ac:dyDescent="0.3">
      <c r="F531" s="80" t="s">
        <v>935</v>
      </c>
      <c r="G531" s="75">
        <f t="shared" si="13"/>
        <v>1.0913200000000001</v>
      </c>
      <c r="H531" s="80" t="s">
        <v>473</v>
      </c>
    </row>
    <row r="532" spans="6:8" ht="13.95" customHeight="1" x14ac:dyDescent="0.3">
      <c r="F532" s="80" t="s">
        <v>936</v>
      </c>
      <c r="G532" s="75">
        <f t="shared" si="13"/>
        <v>0.46613000000000004</v>
      </c>
      <c r="H532" s="80" t="s">
        <v>473</v>
      </c>
    </row>
    <row r="533" spans="6:8" ht="1.95" customHeight="1" x14ac:dyDescent="0.3">
      <c r="F533" s="80"/>
      <c r="G533" s="68"/>
      <c r="H533" s="80"/>
    </row>
    <row r="534" spans="6:8" ht="13.95" customHeight="1" x14ac:dyDescent="0.3">
      <c r="F534" s="80" t="s">
        <v>937</v>
      </c>
      <c r="G534" s="75">
        <f t="shared" si="13"/>
        <v>11.341000000000001</v>
      </c>
      <c r="H534" s="80" t="s">
        <v>473</v>
      </c>
    </row>
    <row r="535" spans="6:8" ht="13.95" customHeight="1" x14ac:dyDescent="0.3">
      <c r="F535" s="80" t="s">
        <v>938</v>
      </c>
      <c r="G535" s="75">
        <f t="shared" si="13"/>
        <v>5.5394000000000005</v>
      </c>
      <c r="H535" s="80" t="s">
        <v>473</v>
      </c>
    </row>
    <row r="536" spans="6:8" ht="13.95" customHeight="1" x14ac:dyDescent="0.3">
      <c r="F536" s="80" t="s">
        <v>939</v>
      </c>
      <c r="G536" s="75">
        <f t="shared" si="13"/>
        <v>5.0385450000000005E-2</v>
      </c>
      <c r="H536" s="80" t="s">
        <v>473</v>
      </c>
    </row>
    <row r="537" spans="6:8" ht="1.95" customHeight="1" x14ac:dyDescent="0.3">
      <c r="F537" s="80"/>
      <c r="G537" s="68"/>
      <c r="H537" s="80"/>
    </row>
    <row r="538" spans="6:8" ht="13.95" customHeight="1" x14ac:dyDescent="0.3">
      <c r="F538" s="80" t="s">
        <v>940</v>
      </c>
      <c r="G538" s="75">
        <f t="shared" si="13"/>
        <v>1.7313800000000001E-2</v>
      </c>
      <c r="H538" s="80" t="s">
        <v>474</v>
      </c>
    </row>
    <row r="539" spans="6:8" ht="1.95" customHeight="1" x14ac:dyDescent="0.3">
      <c r="F539" s="80"/>
      <c r="G539" s="68"/>
      <c r="H539" s="80"/>
    </row>
    <row r="540" spans="6:8" ht="13.95" customHeight="1" x14ac:dyDescent="0.3">
      <c r="F540" s="80" t="s">
        <v>941</v>
      </c>
      <c r="G540" s="75">
        <f t="shared" si="13"/>
        <v>0.98665000000000003</v>
      </c>
      <c r="H540" s="80" t="s">
        <v>475</v>
      </c>
    </row>
    <row r="541" spans="6:8" ht="13.95" customHeight="1" x14ac:dyDescent="0.3">
      <c r="F541" s="46"/>
      <c r="G541" s="46"/>
      <c r="H541" s="46"/>
    </row>
    <row r="542" spans="6:8" ht="13.95" customHeight="1" x14ac:dyDescent="0.3">
      <c r="F542" s="68" t="s">
        <v>942</v>
      </c>
      <c r="G542" s="75">
        <f>SUM(G528:G532)</f>
        <v>3.77228143</v>
      </c>
      <c r="H542" s="68" t="s">
        <v>473</v>
      </c>
    </row>
    <row r="543" spans="6:8" ht="13.95" customHeight="1" x14ac:dyDescent="0.3">
      <c r="F543" s="68" t="s">
        <v>943</v>
      </c>
      <c r="G543" s="75">
        <f>SUM(G534:G536)</f>
        <v>16.930785450000002</v>
      </c>
      <c r="H543" s="68" t="s">
        <v>473</v>
      </c>
    </row>
    <row r="544" spans="6:8" ht="13.95" customHeight="1" x14ac:dyDescent="0.3">
      <c r="F544" s="68" t="s">
        <v>944</v>
      </c>
      <c r="G544" s="75">
        <f>G538</f>
        <v>1.7313800000000001E-2</v>
      </c>
      <c r="H544" s="68" t="s">
        <v>474</v>
      </c>
    </row>
    <row r="545" spans="6:8" ht="13.95" customHeight="1" x14ac:dyDescent="0.3">
      <c r="F545" s="68" t="s">
        <v>945</v>
      </c>
      <c r="G545" s="75">
        <f>G540</f>
        <v>0.98665000000000003</v>
      </c>
      <c r="H545" s="68" t="s">
        <v>475</v>
      </c>
    </row>
    <row r="546" spans="6:8" ht="1.95" customHeight="1" x14ac:dyDescent="0.3">
      <c r="F546" s="46"/>
      <c r="G546" s="46"/>
      <c r="H546" s="46"/>
    </row>
    <row r="547" spans="6:8" ht="13.95" customHeight="1" x14ac:dyDescent="0.3">
      <c r="F547" s="64" t="str">
        <f xml:space="preserve"> F$322</f>
        <v>Jaarlijkse gewicht recycled plastic (kg)</v>
      </c>
      <c r="G547" s="67">
        <f xml:space="preserve"> G$322</f>
        <v>0</v>
      </c>
      <c r="H547" s="64" t="str">
        <f xml:space="preserve"> H$322</f>
        <v>kg / jaar</v>
      </c>
    </row>
    <row r="548" spans="6:8" ht="1.95" customHeight="1" x14ac:dyDescent="0.3">
      <c r="F548" s="46"/>
      <c r="G548" s="46"/>
      <c r="H548" s="46"/>
    </row>
    <row r="549" spans="6:8" ht="13.95" customHeight="1" x14ac:dyDescent="0.3">
      <c r="F549" s="68" t="s">
        <v>946</v>
      </c>
      <c r="G549" s="73">
        <f>G542*$G$547</f>
        <v>0</v>
      </c>
      <c r="H549" s="68" t="s">
        <v>480</v>
      </c>
    </row>
    <row r="550" spans="6:8" ht="13.95" customHeight="1" x14ac:dyDescent="0.3">
      <c r="F550" s="68" t="s">
        <v>947</v>
      </c>
      <c r="G550" s="73">
        <f t="shared" ref="G550:G552" si="14">G543*$G$547</f>
        <v>0</v>
      </c>
      <c r="H550" s="68" t="s">
        <v>480</v>
      </c>
    </row>
    <row r="551" spans="6:8" ht="13.95" customHeight="1" x14ac:dyDescent="0.3">
      <c r="F551" s="68" t="s">
        <v>948</v>
      </c>
      <c r="G551" s="73">
        <f t="shared" si="14"/>
        <v>0</v>
      </c>
      <c r="H551" s="68" t="s">
        <v>481</v>
      </c>
    </row>
    <row r="552" spans="6:8" ht="13.95" customHeight="1" x14ac:dyDescent="0.3">
      <c r="F552" s="68" t="s">
        <v>949</v>
      </c>
      <c r="G552" s="73">
        <f t="shared" si="14"/>
        <v>0</v>
      </c>
      <c r="H552" s="68" t="s">
        <v>482</v>
      </c>
    </row>
    <row r="553" spans="6:8" ht="13.95" customHeight="1" x14ac:dyDescent="0.3">
      <c r="F553" s="46"/>
      <c r="G553" s="46"/>
      <c r="H553" s="46"/>
    </row>
    <row r="554" spans="6:8" ht="13.95" customHeight="1" x14ac:dyDescent="0.3">
      <c r="F554" s="64" t="str">
        <f xml:space="preserve"> F$494</f>
        <v>Impact virgin plastic folie per jaar, hernieuwbare energie</v>
      </c>
      <c r="G554" s="67">
        <f xml:space="preserve"> G$494</f>
        <v>10888.345013935999</v>
      </c>
      <c r="H554" s="64" t="str">
        <f xml:space="preserve"> H$494</f>
        <v>MJ / jaar</v>
      </c>
    </row>
    <row r="555" spans="6:8" ht="13.95" customHeight="1" x14ac:dyDescent="0.3">
      <c r="F555" s="64" t="str">
        <f xml:space="preserve"> F$495</f>
        <v>Impact virgin plastic folie per jaar, niet-hernieuwbare energie</v>
      </c>
      <c r="G555" s="67">
        <f xml:space="preserve"> G$495</f>
        <v>275955.22864353599</v>
      </c>
      <c r="H555" s="64" t="str">
        <f xml:space="preserve"> H$495</f>
        <v>MJ / jaar</v>
      </c>
    </row>
    <row r="556" spans="6:8" ht="13.95" customHeight="1" x14ac:dyDescent="0.3">
      <c r="F556" s="64" t="str">
        <f xml:space="preserve"> F$496</f>
        <v>Impact virgin plastic folie per jaar, water</v>
      </c>
      <c r="G556" s="67">
        <f xml:space="preserve"> G$496</f>
        <v>38.826500959999997</v>
      </c>
      <c r="H556" s="64" t="str">
        <f xml:space="preserve"> H$496</f>
        <v>M3 / jaar</v>
      </c>
    </row>
    <row r="557" spans="6:8" ht="13.95" customHeight="1" x14ac:dyDescent="0.3">
      <c r="F557" s="64" t="str">
        <f xml:space="preserve"> F$497</f>
        <v>Impact virgin plastic folie per jaar, GWP100</v>
      </c>
      <c r="G557" s="67">
        <f xml:space="preserve"> G$497</f>
        <v>9322.1001119999983</v>
      </c>
      <c r="H557" s="64" t="str">
        <f xml:space="preserve"> H$497</f>
        <v>kg CO2-eq / jaar</v>
      </c>
    </row>
    <row r="558" spans="6:8" ht="1.95" customHeight="1" x14ac:dyDescent="0.3">
      <c r="F558" s="46"/>
      <c r="G558" s="46"/>
      <c r="H558" s="46"/>
    </row>
    <row r="559" spans="6:8" ht="13.95" customHeight="1" x14ac:dyDescent="0.3">
      <c r="F559" s="64" t="str">
        <f xml:space="preserve"> F$549</f>
        <v>Impact Recycled plastic per jaar, hernieuwbare energie</v>
      </c>
      <c r="G559" s="67">
        <f xml:space="preserve"> G$549</f>
        <v>0</v>
      </c>
      <c r="H559" s="64" t="str">
        <f xml:space="preserve"> H$549</f>
        <v>MJ / jaar</v>
      </c>
    </row>
    <row r="560" spans="6:8" ht="13.95" customHeight="1" x14ac:dyDescent="0.3">
      <c r="F560" s="64" t="str">
        <f xml:space="preserve"> F$550</f>
        <v>Impact Recycled plastic per jaar, niet-hernieuwbare energie</v>
      </c>
      <c r="G560" s="67">
        <f xml:space="preserve"> G$550</f>
        <v>0</v>
      </c>
      <c r="H560" s="64" t="str">
        <f xml:space="preserve"> H$550</f>
        <v>MJ / jaar</v>
      </c>
    </row>
    <row r="561" spans="2:8" ht="13.95" customHeight="1" x14ac:dyDescent="0.3">
      <c r="F561" s="64" t="str">
        <f xml:space="preserve"> F$551</f>
        <v>Impact Recycled plastic per jaar, water</v>
      </c>
      <c r="G561" s="67">
        <f xml:space="preserve"> G$551</f>
        <v>0</v>
      </c>
      <c r="H561" s="64" t="str">
        <f xml:space="preserve"> H$551</f>
        <v>M3 / jaar</v>
      </c>
    </row>
    <row r="562" spans="2:8" ht="13.95" customHeight="1" x14ac:dyDescent="0.3">
      <c r="F562" s="64" t="str">
        <f xml:space="preserve"> F$552</f>
        <v>Impact Recycled plastic per jaar, GWP100</v>
      </c>
      <c r="G562" s="67">
        <f xml:space="preserve"> G$552</f>
        <v>0</v>
      </c>
      <c r="H562" s="64" t="str">
        <f xml:space="preserve"> H$552</f>
        <v>kg CO2-eq / jaar</v>
      </c>
    </row>
    <row r="563" spans="2:8" ht="1.95" customHeight="1" x14ac:dyDescent="0.3">
      <c r="F563" s="46"/>
      <c r="G563" s="46"/>
      <c r="H563" s="46"/>
    </row>
    <row r="564" spans="2:8" ht="13.95" customHeight="1" x14ac:dyDescent="0.3">
      <c r="F564" s="81" t="s">
        <v>476</v>
      </c>
      <c r="G564" s="82">
        <f>G554+G559</f>
        <v>10888.345013935999</v>
      </c>
      <c r="H564" s="81" t="s">
        <v>480</v>
      </c>
    </row>
    <row r="565" spans="2:8" ht="13.95" customHeight="1" x14ac:dyDescent="0.3">
      <c r="F565" s="81" t="s">
        <v>477</v>
      </c>
      <c r="G565" s="82">
        <f t="shared" ref="G565:G567" si="15">G555+G560</f>
        <v>275955.22864353599</v>
      </c>
      <c r="H565" s="81" t="s">
        <v>480</v>
      </c>
    </row>
    <row r="566" spans="2:8" ht="13.95" customHeight="1" x14ac:dyDescent="0.3">
      <c r="F566" s="81" t="s">
        <v>478</v>
      </c>
      <c r="G566" s="82">
        <f t="shared" si="15"/>
        <v>38.826500959999997</v>
      </c>
      <c r="H566" s="81" t="s">
        <v>481</v>
      </c>
    </row>
    <row r="567" spans="2:8" ht="13.95" customHeight="1" x14ac:dyDescent="0.3">
      <c r="F567" s="81" t="s">
        <v>479</v>
      </c>
      <c r="G567" s="82">
        <f t="shared" si="15"/>
        <v>9322.1001119999983</v>
      </c>
      <c r="H567" s="81" t="s">
        <v>482</v>
      </c>
    </row>
    <row r="568" spans="2:8" ht="13.95" customHeight="1" x14ac:dyDescent="0.3"/>
    <row r="569" spans="2:8" ht="13.95" customHeight="1" x14ac:dyDescent="0.3">
      <c r="B569" s="53" t="s">
        <v>495</v>
      </c>
    </row>
    <row r="570" spans="2:8" ht="13.95" customHeight="1" x14ac:dyDescent="0.3">
      <c r="C570" s="57" t="s">
        <v>667</v>
      </c>
    </row>
    <row r="571" spans="2:8" ht="13.95" customHeight="1" x14ac:dyDescent="0.3">
      <c r="F571" s="64" t="str">
        <f xml:space="preserve"> F$215</f>
        <v>Wekelijkse gewicht virgin ong. recl., ongeadresseerd normaal (kg)</v>
      </c>
      <c r="G571" s="67">
        <f xml:space="preserve"> G$215</f>
        <v>0</v>
      </c>
      <c r="H571" s="64" t="str">
        <f xml:space="preserve"> H$215</f>
        <v>kg / week</v>
      </c>
    </row>
    <row r="572" spans="2:8" ht="13.95" customHeight="1" x14ac:dyDescent="0.3">
      <c r="F572" s="64" t="str">
        <f xml:space="preserve"> F$216</f>
        <v>Wekelijkse gewicht recycled ong. recl., ongeadresseerd normaal (kg)</v>
      </c>
      <c r="G572" s="67">
        <f xml:space="preserve"> G$216</f>
        <v>18000</v>
      </c>
      <c r="H572" s="64" t="str">
        <f xml:space="preserve"> H$216</f>
        <v>kg / week</v>
      </c>
    </row>
    <row r="573" spans="2:8" ht="13.95" customHeight="1" x14ac:dyDescent="0.3">
      <c r="F573" s="64" t="str">
        <f xml:space="preserve"> F$217</f>
        <v>Wekelijkse gewicht virgin plastic, ongeadresseerd normaal (kg)</v>
      </c>
      <c r="G573" s="67">
        <f xml:space="preserve"> G$217</f>
        <v>54</v>
      </c>
      <c r="H573" s="64" t="str">
        <f xml:space="preserve"> H$217</f>
        <v>kg / week</v>
      </c>
    </row>
    <row r="574" spans="2:8" ht="13.95" customHeight="1" x14ac:dyDescent="0.3">
      <c r="F574" s="64" t="str">
        <f xml:space="preserve"> F$218</f>
        <v>Wekelijkse gewicht recycled plastic, ongeadresseerd normaal (kg)</v>
      </c>
      <c r="G574" s="67">
        <f xml:space="preserve"> G$218</f>
        <v>0</v>
      </c>
      <c r="H574" s="64" t="str">
        <f xml:space="preserve"> H$218</f>
        <v>kg / week</v>
      </c>
    </row>
    <row r="575" spans="2:8" ht="1.95" customHeight="1" x14ac:dyDescent="0.3"/>
    <row r="576" spans="2:8" ht="13.95" customHeight="1" x14ac:dyDescent="0.3">
      <c r="F576" t="s">
        <v>1151</v>
      </c>
      <c r="G576" s="66">
        <f>SUM(G571:G574)</f>
        <v>18054</v>
      </c>
      <c r="H576" t="s">
        <v>457</v>
      </c>
    </row>
    <row r="577" spans="6:11" ht="13.95" customHeight="1" x14ac:dyDescent="0.3"/>
    <row r="578" spans="6:11" ht="13.95" customHeight="1" x14ac:dyDescent="0.3">
      <c r="F578" s="64" t="str">
        <f xml:space="preserve"> F$238</f>
        <v>Wekelijkse gewicht virgin, geadresseerd selectie (kg)</v>
      </c>
      <c r="G578" s="67">
        <f xml:space="preserve"> G$238</f>
        <v>0</v>
      </c>
      <c r="H578" s="64" t="str">
        <f xml:space="preserve"> H$238</f>
        <v>kg / week</v>
      </c>
    </row>
    <row r="579" spans="6:11" ht="13.95" customHeight="1" x14ac:dyDescent="0.3">
      <c r="F579" s="64" t="str">
        <f xml:space="preserve"> F$239</f>
        <v>Wekelijkse gewicht recycled, geadresseerd selectie (kg)</v>
      </c>
      <c r="G579" s="67">
        <f xml:space="preserve"> G$239</f>
        <v>68.992000000000004</v>
      </c>
      <c r="H579" s="64" t="str">
        <f xml:space="preserve"> H$239</f>
        <v>kg / week</v>
      </c>
    </row>
    <row r="580" spans="6:11" ht="13.95" customHeight="1" x14ac:dyDescent="0.3">
      <c r="F580" s="64" t="str">
        <f xml:space="preserve"> F$240</f>
        <v>Wekelijkse gewicht virgin plastic, geadresseerd selectie (kg)</v>
      </c>
      <c r="G580" s="67">
        <f xml:space="preserve"> G$240</f>
        <v>3.08</v>
      </c>
      <c r="H580" s="64" t="str">
        <f xml:space="preserve"> H$240</f>
        <v>kg / week</v>
      </c>
    </row>
    <row r="581" spans="6:11" ht="13.95" customHeight="1" x14ac:dyDescent="0.3">
      <c r="F581" s="64" t="str">
        <f xml:space="preserve"> F$241</f>
        <v>Wekelijkse gewicht recycled plastic, geadresseerd selectie (kg)</v>
      </c>
      <c r="G581" s="67">
        <f xml:space="preserve"> G$241</f>
        <v>0</v>
      </c>
      <c r="H581" s="64" t="str">
        <f xml:space="preserve"> H$241</f>
        <v>kg / week</v>
      </c>
    </row>
    <row r="582" spans="6:11" ht="1.95" customHeight="1" x14ac:dyDescent="0.3">
      <c r="F582" s="64"/>
      <c r="G582" s="67"/>
      <c r="H582" s="64"/>
    </row>
    <row r="583" spans="6:11" ht="13.95" customHeight="1" x14ac:dyDescent="0.3">
      <c r="F583" t="s">
        <v>1152</v>
      </c>
      <c r="G583" s="66">
        <f>SUM(G578:G581)</f>
        <v>72.072000000000003</v>
      </c>
      <c r="H583" t="s">
        <v>457</v>
      </c>
      <c r="K583" t="s">
        <v>467</v>
      </c>
    </row>
    <row r="584" spans="6:11" ht="13.95" customHeight="1" x14ac:dyDescent="0.3"/>
    <row r="585" spans="6:11" ht="13.95" customHeight="1" x14ac:dyDescent="0.3">
      <c r="F585" s="64" t="str">
        <f xml:space="preserve"> F$299</f>
        <v>Wekelijkse gewicht opslag lokale folders (kg), recycled</v>
      </c>
      <c r="G585" s="127">
        <f xml:space="preserve"> G$299</f>
        <v>1069.1996000000001</v>
      </c>
      <c r="H585" s="64" t="str">
        <f xml:space="preserve"> H$299</f>
        <v>kg / week</v>
      </c>
      <c r="J585" s="43"/>
    </row>
    <row r="586" spans="6:11" ht="13.95" customHeight="1" x14ac:dyDescent="0.3">
      <c r="F586" s="64" t="str">
        <f xml:space="preserve"> F$576</f>
        <v>Wekelijkse gewicht, ongeadresseerd normaal</v>
      </c>
      <c r="G586" s="67">
        <f xml:space="preserve"> G$576</f>
        <v>18054</v>
      </c>
      <c r="H586" s="64" t="str">
        <f xml:space="preserve"> H$576</f>
        <v>kg / week</v>
      </c>
      <c r="J586" s="43"/>
    </row>
    <row r="587" spans="6:11" ht="13.95" customHeight="1" x14ac:dyDescent="0.3">
      <c r="F587" s="64" t="str">
        <f xml:space="preserve"> F$583</f>
        <v>Wekelijkse gewicht, geadresseerd selectie</v>
      </c>
      <c r="G587" s="67">
        <f xml:space="preserve"> G$583</f>
        <v>72.072000000000003</v>
      </c>
      <c r="H587" s="64" t="str">
        <f xml:space="preserve"> H$583</f>
        <v>kg / week</v>
      </c>
      <c r="J587" s="43"/>
    </row>
    <row r="588" spans="6:11" ht="1.95" customHeight="1" x14ac:dyDescent="0.3">
      <c r="F588" s="64"/>
      <c r="G588" s="67"/>
      <c r="H588" s="64"/>
    </row>
    <row r="589" spans="6:11" ht="13.95" customHeight="1" x14ac:dyDescent="0.3">
      <c r="F589" t="s">
        <v>1582</v>
      </c>
      <c r="G589" s="66">
        <f>G586+G587+G585</f>
        <v>19195.2716</v>
      </c>
      <c r="H589" s="64" t="str">
        <f xml:space="preserve"> H$583</f>
        <v>kg / week</v>
      </c>
    </row>
    <row r="590" spans="6:11" ht="13.95" customHeight="1" x14ac:dyDescent="0.3"/>
    <row r="591" spans="6:11" ht="13.95" customHeight="1" x14ac:dyDescent="0.3">
      <c r="F591" s="64" t="str">
        <f xml:space="preserve"> F$280</f>
        <v>Wekelijkse gewicht virgin papier, huis-aan-huis (kg)</v>
      </c>
      <c r="G591" s="67">
        <f xml:space="preserve"> G$280</f>
        <v>0</v>
      </c>
      <c r="H591" s="64" t="str">
        <f xml:space="preserve"> H$280</f>
        <v>kg / week</v>
      </c>
    </row>
    <row r="592" spans="6:11" ht="13.95" customHeight="1" x14ac:dyDescent="0.3">
      <c r="F592" s="64" t="str">
        <f xml:space="preserve"> F$281</f>
        <v>Wekelijkse gewicht recycled papier, huis-aan-huis (kg)</v>
      </c>
      <c r="G592" s="67">
        <f xml:space="preserve"> G$281</f>
        <v>3315</v>
      </c>
      <c r="H592" s="64" t="str">
        <f xml:space="preserve"> H$281</f>
        <v>kg / week</v>
      </c>
    </row>
    <row r="593" spans="3:10" ht="13.95" customHeight="1" x14ac:dyDescent="0.3">
      <c r="F593" s="64" t="str">
        <f xml:space="preserve"> F$282</f>
        <v>Wekelijkse gewicht virgin plastic, huis-aan-huis (kg)</v>
      </c>
      <c r="G593" s="67">
        <f xml:space="preserve"> G$282</f>
        <v>0</v>
      </c>
      <c r="H593" s="64" t="str">
        <f xml:space="preserve"> H$282</f>
        <v>kg / week</v>
      </c>
    </row>
    <row r="594" spans="3:10" ht="13.95" customHeight="1" x14ac:dyDescent="0.3">
      <c r="F594" s="64" t="str">
        <f xml:space="preserve"> F$283</f>
        <v>Wekelijkse gewicht recycled plastic, huis-aan-huis (kg)</v>
      </c>
      <c r="G594" s="67">
        <f xml:space="preserve"> G$283</f>
        <v>0</v>
      </c>
      <c r="H594" s="64" t="str">
        <f xml:space="preserve"> H$283</f>
        <v>kg / week</v>
      </c>
    </row>
    <row r="595" spans="3:10" ht="1.95" customHeight="1" x14ac:dyDescent="0.3">
      <c r="F595" s="64"/>
      <c r="G595" s="67"/>
      <c r="H595" s="64"/>
    </row>
    <row r="596" spans="3:10" ht="13.95" customHeight="1" x14ac:dyDescent="0.3">
      <c r="F596" t="s">
        <v>468</v>
      </c>
      <c r="G596" s="66">
        <f>SUM(G591:G594)</f>
        <v>3315</v>
      </c>
      <c r="H596" t="s">
        <v>457</v>
      </c>
    </row>
    <row r="597" spans="3:10" ht="13.95" customHeight="1" x14ac:dyDescent="0.3"/>
    <row r="598" spans="3:10" ht="13.95" customHeight="1" x14ac:dyDescent="0.3">
      <c r="C598" s="57" t="s">
        <v>969</v>
      </c>
      <c r="J598" t="s">
        <v>955</v>
      </c>
    </row>
    <row r="599" spans="3:10" ht="13.95" customHeight="1" x14ac:dyDescent="0.3">
      <c r="D599" t="s">
        <v>956</v>
      </c>
    </row>
    <row r="600" spans="3:10" ht="13.95" customHeight="1" x14ac:dyDescent="0.3">
      <c r="F600" s="46" t="str">
        <f xml:space="preserve"> Inputs!E$182</f>
        <v>Afstand druklocatie folders -&gt; Spotta verpaklocatie Meppel</v>
      </c>
      <c r="G600" s="46">
        <f xml:space="preserve"> Inputs!F$182</f>
        <v>203</v>
      </c>
      <c r="H600" s="46" t="str">
        <f xml:space="preserve"> Inputs!G$182</f>
        <v>km</v>
      </c>
    </row>
    <row r="601" spans="3:10" ht="13.95" customHeight="1" x14ac:dyDescent="0.3">
      <c r="F601" s="46" t="str">
        <f xml:space="preserve"> Inputs!E$183</f>
        <v>Afstand druklocatie folders -&gt; Spotta verpaklocatie Utrecht</v>
      </c>
      <c r="G601" s="46">
        <f xml:space="preserve"> Inputs!F$183</f>
        <v>96</v>
      </c>
      <c r="H601" s="46" t="str">
        <f xml:space="preserve"> Inputs!G$183</f>
        <v>km</v>
      </c>
    </row>
    <row r="602" spans="3:10" ht="13.95" customHeight="1" x14ac:dyDescent="0.3">
      <c r="F602" s="46" t="str">
        <f xml:space="preserve"> Inputs!E$184</f>
        <v>Afstand druklocatie folders -&gt; Spotta verpaklocatie Eindhoven</v>
      </c>
      <c r="G602" s="46">
        <f xml:space="preserve"> Inputs!F$184</f>
        <v>52</v>
      </c>
      <c r="H602" s="46" t="str">
        <f xml:space="preserve"> Inputs!G$184</f>
        <v>km</v>
      </c>
    </row>
    <row r="603" spans="3:10" ht="1.95" customHeight="1" x14ac:dyDescent="0.3">
      <c r="F603" s="86"/>
      <c r="G603" s="46"/>
      <c r="H603" s="46"/>
    </row>
    <row r="604" spans="3:10" ht="13.95" customHeight="1" x14ac:dyDescent="0.3">
      <c r="F604" s="86" t="str">
        <f xml:space="preserve"> Inputs!E$188</f>
        <v>% van folders dat naar Spotta Meppel gaat</v>
      </c>
      <c r="G604" s="93">
        <f xml:space="preserve"> Inputs!F$188</f>
        <v>0.2</v>
      </c>
      <c r="H604" s="46" t="str">
        <f xml:space="preserve"> Inputs!G$188</f>
        <v>%</v>
      </c>
    </row>
    <row r="605" spans="3:10" ht="13.95" customHeight="1" x14ac:dyDescent="0.3">
      <c r="F605" s="86" t="str">
        <f xml:space="preserve"> Inputs!E$189</f>
        <v>% van folders dat naar Spotta Utrecht gaat</v>
      </c>
      <c r="G605" s="93">
        <f xml:space="preserve"> Inputs!F$189</f>
        <v>0.5</v>
      </c>
      <c r="H605" s="46" t="str">
        <f xml:space="preserve"> Inputs!G$189</f>
        <v>%</v>
      </c>
    </row>
    <row r="606" spans="3:10" ht="13.95" customHeight="1" x14ac:dyDescent="0.3">
      <c r="F606" s="86" t="str">
        <f xml:space="preserve"> Inputs!E$190</f>
        <v>% van folders dat naar Spotta Eindhoven gaat</v>
      </c>
      <c r="G606" s="93">
        <f xml:space="preserve"> Inputs!F$190</f>
        <v>0.3</v>
      </c>
      <c r="H606" s="46" t="str">
        <f xml:space="preserve"> Inputs!G$190</f>
        <v>%</v>
      </c>
    </row>
    <row r="607" spans="3:10" ht="1.95" customHeight="1" x14ac:dyDescent="0.3">
      <c r="F607" s="43"/>
    </row>
    <row r="608" spans="3:10" ht="13.95" customHeight="1" x14ac:dyDescent="0.3">
      <c r="F608" s="43" t="s">
        <v>957</v>
      </c>
      <c r="G608" s="66">
        <f>SUMPRODUCT(G600:G602,G604:G606)</f>
        <v>104.19999999999999</v>
      </c>
      <c r="H608" t="s">
        <v>12</v>
      </c>
    </row>
    <row r="609" spans="4:8" ht="13.95" customHeight="1" x14ac:dyDescent="0.3">
      <c r="F609" s="43"/>
    </row>
    <row r="610" spans="4:8" ht="13.95" customHeight="1" x14ac:dyDescent="0.3">
      <c r="F610" s="95" t="str">
        <f xml:space="preserve"> F$608</f>
        <v>Gemiddelde afstand ongeadr. + geadr.  van druklocatie -&gt; Spotta verpaklocatie</v>
      </c>
      <c r="G610" s="67">
        <f xml:space="preserve"> G$608</f>
        <v>104.19999999999999</v>
      </c>
      <c r="H610" s="64" t="str">
        <f xml:space="preserve"> H$608</f>
        <v>km</v>
      </c>
    </row>
    <row r="611" spans="4:8" ht="13.95" customHeight="1" x14ac:dyDescent="0.3">
      <c r="F611" s="95" t="str">
        <f xml:space="preserve"> F$589</f>
        <v>Wekelijkse gewicht, ongeadr. + geaddr. + lokaal</v>
      </c>
      <c r="G611" s="67">
        <f xml:space="preserve"> G$589</f>
        <v>19195.2716</v>
      </c>
      <c r="H611" s="64" t="str">
        <f xml:space="preserve"> H$589</f>
        <v>kg / week</v>
      </c>
    </row>
    <row r="612" spans="4:8" ht="13.95" customHeight="1" x14ac:dyDescent="0.3">
      <c r="F612" s="86" t="str">
        <f xml:space="preserve"> Inputs!E$11</f>
        <v>Aantal weken per jaar</v>
      </c>
      <c r="G612" s="46">
        <f xml:space="preserve"> Inputs!F$11</f>
        <v>52</v>
      </c>
      <c r="H612" s="46" t="str">
        <f xml:space="preserve"> Inputs!G$11</f>
        <v>weken / jaar</v>
      </c>
    </row>
    <row r="613" spans="4:8" ht="13.95" customHeight="1" x14ac:dyDescent="0.3">
      <c r="F613" s="86" t="str">
        <f xml:space="preserve"> Inputs!E$10</f>
        <v>Aantal gram per kilo</v>
      </c>
      <c r="G613" s="46">
        <f xml:space="preserve"> Inputs!F$10</f>
        <v>1000</v>
      </c>
      <c r="H613" s="46" t="str">
        <f xml:space="preserve"> Inputs!G$10</f>
        <v>gram / kilo</v>
      </c>
    </row>
    <row r="614" spans="4:8" ht="1.95" customHeight="1" x14ac:dyDescent="0.3">
      <c r="F614" s="95"/>
      <c r="G614" s="67"/>
      <c r="H614" s="64"/>
    </row>
    <row r="615" spans="4:8" ht="12" customHeight="1" x14ac:dyDescent="0.3">
      <c r="F615" s="95" t="s">
        <v>958</v>
      </c>
      <c r="G615" s="67">
        <f>G610*G611*G612/G613</f>
        <v>104007.65963743998</v>
      </c>
      <c r="H615" s="64" t="s">
        <v>670</v>
      </c>
    </row>
    <row r="616" spans="4:8" ht="12" customHeight="1" x14ac:dyDescent="0.3">
      <c r="F616" s="95"/>
      <c r="G616" s="67"/>
      <c r="H616" s="64"/>
    </row>
    <row r="617" spans="4:8" ht="12" customHeight="1" x14ac:dyDescent="0.3">
      <c r="D617" t="s">
        <v>959</v>
      </c>
      <c r="F617" s="95"/>
      <c r="G617" s="67"/>
      <c r="H617" s="64"/>
    </row>
    <row r="618" spans="4:8" ht="12" customHeight="1" x14ac:dyDescent="0.3">
      <c r="F618" s="64" t="str">
        <f xml:space="preserve"> F$93</f>
        <v>Afstand distributie naar lokaal, truck</v>
      </c>
      <c r="G618" s="97">
        <f xml:space="preserve"> G$93</f>
        <v>140</v>
      </c>
      <c r="H618" s="64" t="str">
        <f xml:space="preserve"> H$93</f>
        <v>km</v>
      </c>
    </row>
    <row r="619" spans="4:8" ht="12" customHeight="1" x14ac:dyDescent="0.3">
      <c r="F619" s="95" t="str">
        <f xml:space="preserve"> F$589</f>
        <v>Wekelijkse gewicht, ongeadr. + geaddr. + lokaal</v>
      </c>
      <c r="G619" s="67">
        <f xml:space="preserve"> G$589</f>
        <v>19195.2716</v>
      </c>
      <c r="H619" s="64" t="str">
        <f xml:space="preserve"> H$589</f>
        <v>kg / week</v>
      </c>
    </row>
    <row r="620" spans="4:8" ht="12" customHeight="1" x14ac:dyDescent="0.3">
      <c r="F620" s="86" t="str">
        <f xml:space="preserve"> Inputs!E$11</f>
        <v>Aantal weken per jaar</v>
      </c>
      <c r="G620" s="46">
        <f xml:space="preserve"> Inputs!F$11</f>
        <v>52</v>
      </c>
      <c r="H620" s="46" t="str">
        <f xml:space="preserve"> Inputs!G$11</f>
        <v>weken / jaar</v>
      </c>
    </row>
    <row r="621" spans="4:8" ht="12" customHeight="1" x14ac:dyDescent="0.3">
      <c r="F621" s="86" t="str">
        <f xml:space="preserve"> Inputs!E$10</f>
        <v>Aantal gram per kilo</v>
      </c>
      <c r="G621" s="46">
        <f xml:space="preserve"> Inputs!F$10</f>
        <v>1000</v>
      </c>
      <c r="H621" s="46" t="str">
        <f xml:space="preserve"> Inputs!G$10</f>
        <v>gram / kilo</v>
      </c>
    </row>
    <row r="622" spans="4:8" ht="1.95" customHeight="1" x14ac:dyDescent="0.3">
      <c r="F622" s="86"/>
      <c r="G622" s="46"/>
      <c r="H622" s="46"/>
    </row>
    <row r="623" spans="4:8" ht="12" customHeight="1" x14ac:dyDescent="0.3">
      <c r="F623" s="95" t="s">
        <v>960</v>
      </c>
      <c r="G623" s="67">
        <f>G618*G619*G620/G621</f>
        <v>139741.57724800002</v>
      </c>
      <c r="H623" s="64" t="s">
        <v>670</v>
      </c>
    </row>
    <row r="624" spans="4:8" ht="12" customHeight="1" x14ac:dyDescent="0.3">
      <c r="F624" s="64"/>
      <c r="G624" s="97"/>
      <c r="H624" s="64"/>
    </row>
    <row r="625" spans="3:10" ht="12" customHeight="1" x14ac:dyDescent="0.3">
      <c r="D625" t="s">
        <v>961</v>
      </c>
      <c r="F625" s="95"/>
      <c r="G625" s="67"/>
      <c r="H625" s="64"/>
    </row>
    <row r="626" spans="3:10" ht="13.95" customHeight="1" x14ac:dyDescent="0.3">
      <c r="F626" s="64" t="str">
        <f xml:space="preserve"> F$94</f>
        <v>Afstand distributie naar lokaal, busje</v>
      </c>
      <c r="G626" s="97">
        <f xml:space="preserve"> G$94</f>
        <v>1000</v>
      </c>
      <c r="H626" s="64" t="str">
        <f xml:space="preserve"> H$94</f>
        <v>km</v>
      </c>
    </row>
    <row r="627" spans="3:10" ht="13.95" customHeight="1" x14ac:dyDescent="0.3">
      <c r="F627" s="95" t="str">
        <f xml:space="preserve"> F$589</f>
        <v>Wekelijkse gewicht, ongeadr. + geaddr. + lokaal</v>
      </c>
      <c r="G627" s="67">
        <f>IF(G124="Volledig digitaal",0,1000)</f>
        <v>1000</v>
      </c>
      <c r="H627" s="64" t="str">
        <f xml:space="preserve"> H$589</f>
        <v>kg / week</v>
      </c>
      <c r="J627" t="s">
        <v>1175</v>
      </c>
    </row>
    <row r="628" spans="3:10" ht="13.95" customHeight="1" x14ac:dyDescent="0.3">
      <c r="F628" s="86" t="str">
        <f xml:space="preserve"> Inputs!E$11</f>
        <v>Aantal weken per jaar</v>
      </c>
      <c r="G628" s="46">
        <f xml:space="preserve"> Inputs!F$11</f>
        <v>52</v>
      </c>
      <c r="H628" s="46" t="str">
        <f xml:space="preserve"> Inputs!G$11</f>
        <v>weken / jaar</v>
      </c>
    </row>
    <row r="629" spans="3:10" ht="13.95" customHeight="1" x14ac:dyDescent="0.3">
      <c r="F629" s="86" t="str">
        <f xml:space="preserve"> Inputs!E$10</f>
        <v>Aantal gram per kilo</v>
      </c>
      <c r="G629" s="46">
        <f xml:space="preserve"> Inputs!F$10</f>
        <v>1000</v>
      </c>
      <c r="H629" s="46" t="str">
        <f xml:space="preserve"> Inputs!G$10</f>
        <v>gram / kilo</v>
      </c>
    </row>
    <row r="630" spans="3:10" ht="1.95" customHeight="1" x14ac:dyDescent="0.3">
      <c r="F630" s="64"/>
      <c r="G630" s="97"/>
      <c r="H630" s="64"/>
    </row>
    <row r="631" spans="3:10" ht="13.95" customHeight="1" x14ac:dyDescent="0.3">
      <c r="F631" s="95" t="s">
        <v>962</v>
      </c>
      <c r="G631" s="67">
        <f>G626*G627*G628/G629</f>
        <v>52000</v>
      </c>
      <c r="H631" s="64" t="s">
        <v>670</v>
      </c>
    </row>
    <row r="632" spans="3:10" ht="13.95" customHeight="1" x14ac:dyDescent="0.3">
      <c r="F632" s="64"/>
      <c r="G632" s="97"/>
      <c r="H632" s="64"/>
    </row>
    <row r="633" spans="3:10" ht="13.95" customHeight="1" x14ac:dyDescent="0.3">
      <c r="C633" s="57" t="s">
        <v>970</v>
      </c>
      <c r="F633" s="43"/>
    </row>
    <row r="634" spans="3:10" ht="13.95" customHeight="1" x14ac:dyDescent="0.3">
      <c r="D634" t="s">
        <v>680</v>
      </c>
      <c r="F634" s="43"/>
      <c r="J634" t="s">
        <v>955</v>
      </c>
    </row>
    <row r="635" spans="3:10" ht="13.95" customHeight="1" x14ac:dyDescent="0.3">
      <c r="F635" s="86" t="str">
        <f xml:space="preserve"> Inputs!E$198</f>
        <v>Vervoer (vrachtwagen, EURO6, diesel, 16-32 ton), hernieuwbare energie, biomassa</v>
      </c>
      <c r="G635" s="74">
        <f xml:space="preserve"> Inputs!F$198</f>
        <v>1.3207E-2</v>
      </c>
      <c r="H635" s="46" t="str">
        <f xml:space="preserve"> Inputs!G$198</f>
        <v>MJ-eq / tonkm</v>
      </c>
    </row>
    <row r="636" spans="3:10" ht="13.95" customHeight="1" x14ac:dyDescent="0.3">
      <c r="F636" s="86" t="str">
        <f xml:space="preserve"> Inputs!E$199</f>
        <v>Vervoer (vrachtwagen, EURO6, diesel, 16-32 ton), hernieuwbare energie, geothermie</v>
      </c>
      <c r="G636" s="74">
        <f xml:space="preserve"> Inputs!F$199</f>
        <v>4.6069999999999998E-4</v>
      </c>
      <c r="H636" s="46" t="str">
        <f xml:space="preserve"> Inputs!G$199</f>
        <v>MJ-eq / tonkm</v>
      </c>
    </row>
    <row r="637" spans="3:10" ht="13.95" customHeight="1" x14ac:dyDescent="0.3">
      <c r="F637" s="86" t="str">
        <f xml:space="preserve"> Inputs!E$200</f>
        <v>Vervoer (vrachtwagen, EURO6, diesel, 16-32 ton), hernieuwbare energie, zon</v>
      </c>
      <c r="G637" s="74">
        <f xml:space="preserve"> Inputs!F$200</f>
        <v>3.5680999999999999E-4</v>
      </c>
      <c r="H637" s="46" t="str">
        <f xml:space="preserve"> Inputs!G$200</f>
        <v>MJ-eq / tonkm</v>
      </c>
    </row>
    <row r="638" spans="3:10" ht="13.95" customHeight="1" x14ac:dyDescent="0.3">
      <c r="F638" s="86" t="str">
        <f xml:space="preserve"> Inputs!E$201</f>
        <v>Vervoer (vrachtwagen, EURO6, diesel, 16-32 ton), hernieuwbare energie, water</v>
      </c>
      <c r="G638" s="74">
        <f xml:space="preserve"> Inputs!F$201</f>
        <v>1.9185000000000001E-2</v>
      </c>
      <c r="H638" s="46" t="str">
        <f xml:space="preserve"> Inputs!G$201</f>
        <v>MJ-eq / tonkm</v>
      </c>
    </row>
    <row r="639" spans="3:10" ht="13.95" customHeight="1" x14ac:dyDescent="0.3">
      <c r="F639" s="86" t="str">
        <f xml:space="preserve"> Inputs!E$202</f>
        <v>Vervoer (vrachtwagen, EURO6, diesel, 16-32 ton), hernieuwbare energie, wind</v>
      </c>
      <c r="G639" s="74">
        <f xml:space="preserve"> Inputs!F$202</f>
        <v>4.4689999999999999E-3</v>
      </c>
      <c r="H639" s="46" t="str">
        <f xml:space="preserve"> Inputs!G$202</f>
        <v>MJ-eq / tonkm</v>
      </c>
    </row>
    <row r="640" spans="3:10" ht="1.95" customHeight="1" x14ac:dyDescent="0.3">
      <c r="F640" s="86"/>
      <c r="G640" s="74"/>
      <c r="H640" s="46"/>
    </row>
    <row r="641" spans="6:8" ht="13.95" customHeight="1" x14ac:dyDescent="0.3">
      <c r="F641" s="86" t="str">
        <f xml:space="preserve"> Inputs!E$204</f>
        <v>Vervoer (vrachtwagen, EURO6, diesel, 16-32 ton), niet-hernieuwbare energie, fossiel</v>
      </c>
      <c r="G641" s="74">
        <f xml:space="preserve"> Inputs!F$204</f>
        <v>2.5663999999999998</v>
      </c>
      <c r="H641" s="46" t="str">
        <f xml:space="preserve"> Inputs!G$204</f>
        <v>MJ-eq / tonkm</v>
      </c>
    </row>
    <row r="642" spans="6:8" ht="13.95" customHeight="1" x14ac:dyDescent="0.3">
      <c r="F642" s="86" t="str">
        <f xml:space="preserve"> Inputs!E$205</f>
        <v>Vervoer (vrachtwagen, EURO6, diesel, 16-32 ton), niet-hernieuwbare energie, nucleair</v>
      </c>
      <c r="G642" s="74">
        <f xml:space="preserve"> Inputs!F$205</f>
        <v>5.3193999999999998E-2</v>
      </c>
      <c r="H642" s="46" t="str">
        <f xml:space="preserve"> Inputs!G$205</f>
        <v>MJ-eq / tonkm</v>
      </c>
    </row>
    <row r="643" spans="6:8" ht="13.95" customHeight="1" x14ac:dyDescent="0.3">
      <c r="F643" s="86" t="str">
        <f xml:space="preserve"> Inputs!E$206</f>
        <v>Vervoer (vrachtwagen, EURO6, diesel, 16-32 ton), niet-hernieuwbare energie, oerbos</v>
      </c>
      <c r="G643" s="74">
        <f xml:space="preserve"> Inputs!F$206</f>
        <v>6.9455000000000005E-5</v>
      </c>
      <c r="H643" s="46" t="str">
        <f xml:space="preserve"> Inputs!G$206</f>
        <v>MJ-eq / tonkm</v>
      </c>
    </row>
    <row r="644" spans="6:8" ht="1.95" customHeight="1" x14ac:dyDescent="0.3">
      <c r="F644" s="86"/>
      <c r="G644" s="74"/>
      <c r="H644" s="46"/>
    </row>
    <row r="645" spans="6:8" ht="13.95" customHeight="1" x14ac:dyDescent="0.3">
      <c r="F645" s="86" t="str">
        <f xml:space="preserve"> Inputs!E$208</f>
        <v>Vervoer (vrachtwagen, EURO6, diesel, 16-32 ton), water</v>
      </c>
      <c r="G645" s="74">
        <f xml:space="preserve"> Inputs!F$208</f>
        <v>5.0038000000000003E-4</v>
      </c>
      <c r="H645" s="46" t="str">
        <f xml:space="preserve"> Inputs!G$208</f>
        <v>m3 / tonkm</v>
      </c>
    </row>
    <row r="646" spans="6:8" ht="1.95" customHeight="1" x14ac:dyDescent="0.3">
      <c r="F646" s="86"/>
      <c r="G646" s="74"/>
      <c r="H646" s="46"/>
    </row>
    <row r="647" spans="6:8" ht="13.95" customHeight="1" x14ac:dyDescent="0.3">
      <c r="F647" s="86" t="str">
        <f xml:space="preserve"> Inputs!E$210</f>
        <v>Vervoer (vrachtwagen, EURO6, diesel, 16-32 ton), GWP100</v>
      </c>
      <c r="G647" s="74">
        <f xml:space="preserve"> Inputs!F$210</f>
        <v>0.16392999999999999</v>
      </c>
      <c r="H647" s="46" t="str">
        <f xml:space="preserve"> Inputs!G$210</f>
        <v>kg CO2-eq / tonkm</v>
      </c>
    </row>
    <row r="648" spans="6:8" ht="13.95" customHeight="1" x14ac:dyDescent="0.3">
      <c r="F648" s="43"/>
    </row>
    <row r="649" spans="6:8" ht="13.95" customHeight="1" x14ac:dyDescent="0.3">
      <c r="F649" s="68" t="s">
        <v>661</v>
      </c>
      <c r="G649" s="75">
        <f>SUM(G635:G639)</f>
        <v>3.7678509999999998E-2</v>
      </c>
      <c r="H649" s="68" t="s">
        <v>668</v>
      </c>
    </row>
    <row r="650" spans="6:8" ht="13.95" customHeight="1" x14ac:dyDescent="0.3">
      <c r="F650" s="68" t="s">
        <v>662</v>
      </c>
      <c r="G650" s="75">
        <f>SUM(G641:G643)</f>
        <v>2.619663455</v>
      </c>
      <c r="H650" s="68" t="s">
        <v>668</v>
      </c>
    </row>
    <row r="651" spans="6:8" ht="13.95" customHeight="1" x14ac:dyDescent="0.3">
      <c r="F651" s="68" t="s">
        <v>659</v>
      </c>
      <c r="G651" s="75">
        <f>G645</f>
        <v>5.0038000000000003E-4</v>
      </c>
      <c r="H651" s="68" t="s">
        <v>669</v>
      </c>
    </row>
    <row r="652" spans="6:8" ht="13.95" customHeight="1" x14ac:dyDescent="0.3">
      <c r="F652" s="68" t="s">
        <v>660</v>
      </c>
      <c r="G652" s="75">
        <f>G647</f>
        <v>0.16392999999999999</v>
      </c>
      <c r="H652" s="68" t="s">
        <v>33</v>
      </c>
    </row>
    <row r="653" spans="6:8" ht="1.95" customHeight="1" x14ac:dyDescent="0.3">
      <c r="F653" s="43"/>
    </row>
    <row r="654" spans="6:8" ht="13.95" customHeight="1" x14ac:dyDescent="0.3">
      <c r="F654" s="95" t="str">
        <f xml:space="preserve"> F$615</f>
        <v>Tonkilometer ongeadr. + geadr.  normaal Drukker -&gt; Spotta verpaklocatie</v>
      </c>
      <c r="G654" s="67">
        <f xml:space="preserve"> G$615</f>
        <v>104007.65963743998</v>
      </c>
      <c r="H654" s="64" t="str">
        <f xml:space="preserve"> H$615</f>
        <v>tonkilometer / jaar</v>
      </c>
    </row>
    <row r="655" spans="6:8" ht="1.95" customHeight="1" x14ac:dyDescent="0.3">
      <c r="F655" s="43"/>
    </row>
    <row r="656" spans="6:8" ht="13.95" customHeight="1" x14ac:dyDescent="0.3">
      <c r="F656" s="68" t="s">
        <v>683</v>
      </c>
      <c r="G656" s="66">
        <f>G649*$G$654</f>
        <v>3918.8536437258786</v>
      </c>
      <c r="H656" t="s">
        <v>671</v>
      </c>
    </row>
    <row r="657" spans="4:8" ht="13.95" customHeight="1" x14ac:dyDescent="0.3">
      <c r="F657" s="68" t="s">
        <v>684</v>
      </c>
      <c r="G657" s="66">
        <f t="shared" ref="G657:G659" si="16">G650*$G$654</f>
        <v>272465.06499228009</v>
      </c>
      <c r="H657" t="s">
        <v>671</v>
      </c>
    </row>
    <row r="658" spans="4:8" ht="13.95" customHeight="1" x14ac:dyDescent="0.3">
      <c r="F658" s="68" t="s">
        <v>685</v>
      </c>
      <c r="G658" s="66">
        <f t="shared" si="16"/>
        <v>52.043352729382221</v>
      </c>
      <c r="H658" t="s">
        <v>471</v>
      </c>
    </row>
    <row r="659" spans="4:8" ht="13.95" customHeight="1" x14ac:dyDescent="0.3">
      <c r="F659" s="68" t="s">
        <v>686</v>
      </c>
      <c r="G659" s="66">
        <f t="shared" si="16"/>
        <v>17049.975644365535</v>
      </c>
      <c r="H659" t="s">
        <v>672</v>
      </c>
    </row>
    <row r="660" spans="4:8" ht="13.95" customHeight="1" x14ac:dyDescent="0.3"/>
    <row r="661" spans="4:8" ht="13.95" customHeight="1" x14ac:dyDescent="0.3">
      <c r="D661" t="s">
        <v>681</v>
      </c>
    </row>
    <row r="662" spans="4:8" ht="13.95" customHeight="1" x14ac:dyDescent="0.3">
      <c r="F662" s="46" t="str">
        <f xml:space="preserve"> Inputs!E$216</f>
        <v>Vervoer 3-asser met 20-25 ton, EURO5, hernieuwbare energie, biomassa</v>
      </c>
      <c r="G662" s="74">
        <f xml:space="preserve"> Inputs!F$216</f>
        <v>1.3242E-2</v>
      </c>
      <c r="H662" s="46" t="str">
        <f xml:space="preserve"> Inputs!G$216</f>
        <v>MJ-eq / tonkm</v>
      </c>
    </row>
    <row r="663" spans="4:8" ht="13.95" customHeight="1" x14ac:dyDescent="0.3">
      <c r="F663" s="46" t="str">
        <f xml:space="preserve"> Inputs!E$217</f>
        <v>Vervoer 3-asser met 20-25 ton, EURO5, hernieuwbare energie, geothermie</v>
      </c>
      <c r="G663" s="74">
        <f xml:space="preserve"> Inputs!F$217</f>
        <v>4.6232000000000001E-4</v>
      </c>
      <c r="H663" s="46" t="str">
        <f xml:space="preserve"> Inputs!G$217</f>
        <v>MJ-eq / tonkm</v>
      </c>
    </row>
    <row r="664" spans="4:8" ht="13.95" customHeight="1" x14ac:dyDescent="0.3">
      <c r="F664" s="46" t="str">
        <f xml:space="preserve"> Inputs!E$218</f>
        <v>Vervoer 3-asser met 20-25 ton, EURO5, hernieuwbare energie, zon</v>
      </c>
      <c r="G664" s="74">
        <f xml:space="preserve"> Inputs!F$218</f>
        <v>3.5806999999999999E-4</v>
      </c>
      <c r="H664" s="46" t="str">
        <f xml:space="preserve"> Inputs!G$218</f>
        <v>MJ-eq / tonkm</v>
      </c>
    </row>
    <row r="665" spans="4:8" ht="13.95" customHeight="1" x14ac:dyDescent="0.3">
      <c r="F665" s="46" t="str">
        <f xml:space="preserve"> Inputs!E$219</f>
        <v>Vervoer 3-asser met 20-25 ton, EURO5, hernieuwbare energie, water</v>
      </c>
      <c r="G665" s="74">
        <f xml:space="preserve"> Inputs!F$219</f>
        <v>1.9251999999999998E-2</v>
      </c>
      <c r="H665" s="46" t="str">
        <f xml:space="preserve"> Inputs!G$219</f>
        <v>MJ-eq / tonkm</v>
      </c>
    </row>
    <row r="666" spans="4:8" ht="13.95" customHeight="1" x14ac:dyDescent="0.3">
      <c r="F666" s="46" t="str">
        <f xml:space="preserve"> Inputs!E$220</f>
        <v>Vervoer 3-asser met 20-25 ton, EURO5, hernieuwbare energie, wind</v>
      </c>
      <c r="G666" s="74">
        <f xml:space="preserve"> Inputs!F$220</f>
        <v>4.4833E-3</v>
      </c>
      <c r="H666" s="46" t="str">
        <f xml:space="preserve"> Inputs!G$220</f>
        <v>MJ-eq / tonkm</v>
      </c>
    </row>
    <row r="667" spans="4:8" ht="1.95" customHeight="1" x14ac:dyDescent="0.3">
      <c r="F667" s="46"/>
      <c r="G667" s="74"/>
      <c r="H667" s="46"/>
    </row>
    <row r="668" spans="4:8" ht="13.95" customHeight="1" x14ac:dyDescent="0.3">
      <c r="F668" s="46" t="str">
        <f xml:space="preserve"> Inputs!E$222</f>
        <v>Vervoer 3-asser met 20-25 ton, EURO5, niet-hernieuwbare energie, fossiel</v>
      </c>
      <c r="G668" s="74">
        <f xml:space="preserve"> Inputs!F$222</f>
        <v>2.6126</v>
      </c>
      <c r="H668" s="46" t="str">
        <f xml:space="preserve"> Inputs!G$222</f>
        <v>MJ-eq / tonkm</v>
      </c>
    </row>
    <row r="669" spans="4:8" ht="13.95" customHeight="1" x14ac:dyDescent="0.3">
      <c r="F669" s="46" t="str">
        <f xml:space="preserve"> Inputs!E$223</f>
        <v>Vervoer 3-asser met 20-25 ton, EURO5, niet-hernieuwbare energie, nucleair</v>
      </c>
      <c r="G669" s="74">
        <f xml:space="preserve"> Inputs!F$223</f>
        <v>5.3363000000000001E-2</v>
      </c>
      <c r="H669" s="46" t="str">
        <f xml:space="preserve"> Inputs!G$223</f>
        <v>MJ-eq / tonkm</v>
      </c>
    </row>
    <row r="670" spans="4:8" ht="13.95" customHeight="1" x14ac:dyDescent="0.3">
      <c r="F670" s="46" t="str">
        <f xml:space="preserve"> Inputs!E$224</f>
        <v>Vervoer 3-asser met 20-25 ton, EURO5, niet-hernieuwbare energie, oerbos</v>
      </c>
      <c r="G670" s="74">
        <f xml:space="preserve"> Inputs!F$224</f>
        <v>6.9583000000000001E-5</v>
      </c>
      <c r="H670" s="46" t="str">
        <f xml:space="preserve"> Inputs!G$224</f>
        <v>MJ-eq / tonkm</v>
      </c>
    </row>
    <row r="671" spans="4:8" ht="1.95" customHeight="1" x14ac:dyDescent="0.3">
      <c r="F671" s="46"/>
      <c r="G671" s="74"/>
      <c r="H671" s="46"/>
    </row>
    <row r="672" spans="4:8" ht="13.95" customHeight="1" x14ac:dyDescent="0.3">
      <c r="F672" s="46" t="str">
        <f xml:space="preserve"> Inputs!E$226</f>
        <v>Vervoer 3-asser met 20-25 ton, EURO5, water</v>
      </c>
      <c r="G672" s="74">
        <f xml:space="preserve"> Inputs!F$226</f>
        <v>5.0416000000000002E-4</v>
      </c>
      <c r="H672" s="46" t="str">
        <f xml:space="preserve"> Inputs!G$226</f>
        <v>m3 / tonkm</v>
      </c>
    </row>
    <row r="673" spans="4:8" ht="1.95" customHeight="1" x14ac:dyDescent="0.3">
      <c r="F673" s="46"/>
      <c r="G673" s="74"/>
      <c r="H673" s="46"/>
    </row>
    <row r="674" spans="4:8" ht="13.95" customHeight="1" x14ac:dyDescent="0.3">
      <c r="F674" s="46" t="str">
        <f xml:space="preserve"> Inputs!E$228</f>
        <v>Vervoer 3-asser met 20-25 ton, EURO5, GWP100</v>
      </c>
      <c r="G674" s="74">
        <f xml:space="preserve"> Inputs!F$228</f>
        <v>0.16743</v>
      </c>
      <c r="H674" s="46" t="str">
        <f xml:space="preserve"> Inputs!G$228</f>
        <v>kg CO2-eq / tonkm</v>
      </c>
    </row>
    <row r="675" spans="4:8" ht="13.95" customHeight="1" x14ac:dyDescent="0.3"/>
    <row r="676" spans="4:8" ht="13.95" customHeight="1" x14ac:dyDescent="0.3">
      <c r="F676" s="68" t="s">
        <v>1562</v>
      </c>
      <c r="G676" s="75">
        <f>SUM(G662:G666)</f>
        <v>3.7797690000000002E-2</v>
      </c>
      <c r="H676" s="68" t="s">
        <v>668</v>
      </c>
    </row>
    <row r="677" spans="4:8" ht="13.95" customHeight="1" x14ac:dyDescent="0.3">
      <c r="F677" s="68" t="s">
        <v>1563</v>
      </c>
      <c r="G677" s="75">
        <f>SUM(G668:G670)</f>
        <v>2.6660325830000002</v>
      </c>
      <c r="H677" s="68" t="s">
        <v>668</v>
      </c>
    </row>
    <row r="678" spans="4:8" ht="13.95" customHeight="1" x14ac:dyDescent="0.3">
      <c r="F678" s="68" t="s">
        <v>1564</v>
      </c>
      <c r="G678" s="75">
        <f>G672</f>
        <v>5.0416000000000002E-4</v>
      </c>
      <c r="H678" s="68" t="s">
        <v>669</v>
      </c>
    </row>
    <row r="679" spans="4:8" ht="13.95" customHeight="1" x14ac:dyDescent="0.3">
      <c r="F679" s="68" t="s">
        <v>1565</v>
      </c>
      <c r="G679" s="75">
        <f>G674</f>
        <v>0.16743</v>
      </c>
      <c r="H679" s="68" t="s">
        <v>33</v>
      </c>
    </row>
    <row r="680" spans="4:8" ht="1.95" customHeight="1" x14ac:dyDescent="0.3"/>
    <row r="681" spans="4:8" ht="13.95" customHeight="1" x14ac:dyDescent="0.3">
      <c r="F681" s="64" t="str">
        <f xml:space="preserve"> F$623</f>
        <v>Tonkilometer ongeadr. + geadr.  normaal Spotta verpaklocatie -&gt; lokaal (truck)</v>
      </c>
      <c r="G681" s="67">
        <f xml:space="preserve"> G$623</f>
        <v>139741.57724800002</v>
      </c>
      <c r="H681" s="64" t="str">
        <f xml:space="preserve"> H$623</f>
        <v>tonkilometer / jaar</v>
      </c>
    </row>
    <row r="682" spans="4:8" ht="1.95" customHeight="1" x14ac:dyDescent="0.3"/>
    <row r="683" spans="4:8" ht="13.95" customHeight="1" x14ac:dyDescent="0.3">
      <c r="F683" s="68" t="s">
        <v>687</v>
      </c>
      <c r="G683" s="66">
        <f>G676*$G$681</f>
        <v>5281.908816930958</v>
      </c>
      <c r="H683" t="s">
        <v>671</v>
      </c>
    </row>
    <row r="684" spans="4:8" ht="13.95" customHeight="1" x14ac:dyDescent="0.3">
      <c r="F684" s="68" t="s">
        <v>688</v>
      </c>
      <c r="G684" s="66">
        <f t="shared" ref="G684:G686" si="17">G677*$G$681</f>
        <v>372555.59814297955</v>
      </c>
      <c r="H684" t="s">
        <v>671</v>
      </c>
    </row>
    <row r="685" spans="4:8" ht="13.95" customHeight="1" x14ac:dyDescent="0.3">
      <c r="F685" s="68" t="s">
        <v>689</v>
      </c>
      <c r="G685" s="66">
        <f t="shared" si="17"/>
        <v>70.452113585351697</v>
      </c>
      <c r="H685" t="s">
        <v>471</v>
      </c>
    </row>
    <row r="686" spans="4:8" ht="13.95" customHeight="1" x14ac:dyDescent="0.3">
      <c r="F686" s="68" t="s">
        <v>690</v>
      </c>
      <c r="G686" s="66">
        <f t="shared" si="17"/>
        <v>23396.932278632641</v>
      </c>
      <c r="H686" t="s">
        <v>672</v>
      </c>
    </row>
    <row r="687" spans="4:8" ht="13.95" customHeight="1" x14ac:dyDescent="0.3"/>
    <row r="688" spans="4:8" ht="13.95" customHeight="1" x14ac:dyDescent="0.3">
      <c r="D688" t="s">
        <v>682</v>
      </c>
    </row>
    <row r="689" spans="6:8" ht="13.95" customHeight="1" x14ac:dyDescent="0.3">
      <c r="F689" s="46" t="str">
        <f xml:space="preserve"> Inputs!E$245</f>
        <v>Vervoer, klein vervoer busje, hernieuwbare energie, biomassa</v>
      </c>
      <c r="G689" s="74">
        <f xml:space="preserve"> Inputs!F$245</f>
        <v>0.2263</v>
      </c>
      <c r="H689" s="46" t="str">
        <f xml:space="preserve"> Inputs!G$245</f>
        <v>MJ-eq / tonkm</v>
      </c>
    </row>
    <row r="690" spans="6:8" ht="13.95" customHeight="1" x14ac:dyDescent="0.3">
      <c r="F690" s="46" t="str">
        <f xml:space="preserve"> Inputs!E$246</f>
        <v>Vervoer, klein vervoer busje, hernieuwbare energie, geothermie</v>
      </c>
      <c r="G690" s="74">
        <f xml:space="preserve"> Inputs!F$246</f>
        <v>1.0767000000000001E-2</v>
      </c>
      <c r="H690" s="46" t="str">
        <f xml:space="preserve"> Inputs!G$246</f>
        <v>MJ-eq / tonkm</v>
      </c>
    </row>
    <row r="691" spans="6:8" ht="13.95" customHeight="1" x14ac:dyDescent="0.3">
      <c r="F691" s="46" t="str">
        <f xml:space="preserve"> Inputs!E$247</f>
        <v>Vervoer, klein vervoer busje, hernieuwbare energie, zon</v>
      </c>
      <c r="G691" s="74">
        <f xml:space="preserve"> Inputs!F$247</f>
        <v>4.0924000000000002E-2</v>
      </c>
      <c r="H691" s="46" t="str">
        <f xml:space="preserve"> Inputs!G$247</f>
        <v>MJ-eq / tonkm</v>
      </c>
    </row>
    <row r="692" spans="6:8" ht="13.95" customHeight="1" x14ac:dyDescent="0.3">
      <c r="F692" s="46" t="str">
        <f xml:space="preserve"> Inputs!E$248</f>
        <v>Vervoer, klein vervoer busje, hernieuwbare energie, water</v>
      </c>
      <c r="G692" s="74">
        <f xml:space="preserve"> Inputs!F$248</f>
        <v>0.39716000000000001</v>
      </c>
      <c r="H692" s="46" t="str">
        <f xml:space="preserve"> Inputs!G$248</f>
        <v>MJ-eq / tonkm</v>
      </c>
    </row>
    <row r="693" spans="6:8" ht="13.95" customHeight="1" x14ac:dyDescent="0.3">
      <c r="F693" s="46" t="str">
        <f xml:space="preserve"> Inputs!E$249</f>
        <v>Vervoer, klein vervoer busje, hernieuwbare energie, wind</v>
      </c>
      <c r="G693" s="74">
        <f xml:space="preserve"> Inputs!F$249</f>
        <v>0.12751999999999999</v>
      </c>
      <c r="H693" s="46" t="str">
        <f xml:space="preserve"> Inputs!G$249</f>
        <v>MJ-eq / tonkm</v>
      </c>
    </row>
    <row r="694" spans="6:8" ht="1.95" customHeight="1" x14ac:dyDescent="0.3">
      <c r="F694" s="46"/>
      <c r="G694" s="74"/>
      <c r="H694" s="46"/>
    </row>
    <row r="695" spans="6:8" ht="13.95" customHeight="1" x14ac:dyDescent="0.3">
      <c r="F695" s="46" t="str">
        <f xml:space="preserve"> Inputs!E$251</f>
        <v>Vervoer, klein vervoer busje, niet-hernieuwbare energie, fossiel</v>
      </c>
      <c r="G695" s="74">
        <f xml:space="preserve"> Inputs!F$251</f>
        <v>28.030999999999999</v>
      </c>
      <c r="H695" s="46" t="str">
        <f xml:space="preserve"> Inputs!G$251</f>
        <v>MJ-eq / tonkm</v>
      </c>
    </row>
    <row r="696" spans="6:8" ht="13.95" customHeight="1" x14ac:dyDescent="0.3">
      <c r="F696" s="46" t="str">
        <f xml:space="preserve"> Inputs!E$252</f>
        <v>Vervoer, klein vervoer busje, niet-hernieuwbare energie, nucleair</v>
      </c>
      <c r="G696" s="74">
        <f xml:space="preserve"> Inputs!F$252</f>
        <v>1.4738</v>
      </c>
      <c r="H696" s="46" t="str">
        <f xml:space="preserve"> Inputs!G$252</f>
        <v>MJ-eq / tonkm</v>
      </c>
    </row>
    <row r="697" spans="6:8" ht="13.95" customHeight="1" x14ac:dyDescent="0.3">
      <c r="F697" s="46" t="str">
        <f xml:space="preserve"> Inputs!E$253</f>
        <v>Vervoer, klein vervoer busje, niet-hernieuwbare energie, oerbos</v>
      </c>
      <c r="G697" s="74">
        <f xml:space="preserve"> Inputs!F$253</f>
        <v>1.4758E-3</v>
      </c>
      <c r="H697" s="46" t="str">
        <f xml:space="preserve"> Inputs!G$253</f>
        <v>MJ-eq / tonkm</v>
      </c>
    </row>
    <row r="698" spans="6:8" ht="1.95" customHeight="1" x14ac:dyDescent="0.3">
      <c r="F698" s="46"/>
      <c r="G698" s="74"/>
      <c r="H698" s="46"/>
    </row>
    <row r="699" spans="6:8" ht="13.95" customHeight="1" x14ac:dyDescent="0.3">
      <c r="F699" s="46" t="str">
        <f xml:space="preserve"> Inputs!E$255</f>
        <v>Vervoer, klein vervoer busje, water</v>
      </c>
      <c r="G699" s="74">
        <f xml:space="preserve"> Inputs!F$255</f>
        <v>6.0022000000000001E-3</v>
      </c>
      <c r="H699" s="46" t="str">
        <f xml:space="preserve"> Inputs!G$255</f>
        <v>m3 / tonkm</v>
      </c>
    </row>
    <row r="700" spans="6:8" ht="1.95" customHeight="1" x14ac:dyDescent="0.3">
      <c r="F700" s="46"/>
      <c r="G700" s="74"/>
      <c r="H700" s="46"/>
    </row>
    <row r="701" spans="6:8" ht="13.95" customHeight="1" x14ac:dyDescent="0.3">
      <c r="F701" s="46" t="str">
        <f xml:space="preserve"> Inputs!E$257</f>
        <v>Vervoer, klein vervoer busje, GWP100</v>
      </c>
      <c r="G701" s="74">
        <f xml:space="preserve"> Inputs!F$257</f>
        <v>1.9014</v>
      </c>
      <c r="H701" s="46" t="str">
        <f xml:space="preserve"> Inputs!G$257</f>
        <v>kg CO2-eq / tonkm</v>
      </c>
    </row>
    <row r="702" spans="6:8" ht="13.95" customHeight="1" x14ac:dyDescent="0.3"/>
    <row r="703" spans="6:8" ht="13.95" customHeight="1" x14ac:dyDescent="0.3">
      <c r="F703" s="68" t="s">
        <v>950</v>
      </c>
      <c r="G703" s="75">
        <f>SUM(G689:G693)</f>
        <v>0.80267100000000002</v>
      </c>
      <c r="H703" s="68" t="s">
        <v>668</v>
      </c>
    </row>
    <row r="704" spans="6:8" ht="13.95" customHeight="1" x14ac:dyDescent="0.3">
      <c r="F704" s="68" t="s">
        <v>951</v>
      </c>
      <c r="G704" s="75">
        <f>SUM(G695:G697)</f>
        <v>29.506275800000001</v>
      </c>
      <c r="H704" s="68" t="s">
        <v>668</v>
      </c>
    </row>
    <row r="705" spans="4:8" ht="13.95" customHeight="1" x14ac:dyDescent="0.3">
      <c r="F705" s="68" t="s">
        <v>952</v>
      </c>
      <c r="G705" s="75">
        <f>G699</f>
        <v>6.0022000000000001E-3</v>
      </c>
      <c r="H705" s="68" t="s">
        <v>669</v>
      </c>
    </row>
    <row r="706" spans="4:8" ht="13.95" customHeight="1" x14ac:dyDescent="0.3">
      <c r="F706" s="68" t="s">
        <v>953</v>
      </c>
      <c r="G706" s="75">
        <f>G701</f>
        <v>1.9014</v>
      </c>
      <c r="H706" s="68" t="s">
        <v>33</v>
      </c>
    </row>
    <row r="707" spans="4:8" ht="1.95" customHeight="1" x14ac:dyDescent="0.3"/>
    <row r="708" spans="4:8" ht="13.95" customHeight="1" x14ac:dyDescent="0.3">
      <c r="F708" s="95" t="str">
        <f xml:space="preserve"> F$631</f>
        <v>Tonkilometer ongeadr. + geadr.  normaal Spotta verpaklocatie -&gt; lokaal (busje)</v>
      </c>
      <c r="G708" s="67">
        <f xml:space="preserve"> G$631</f>
        <v>52000</v>
      </c>
      <c r="H708" s="64" t="str">
        <f xml:space="preserve"> H$631</f>
        <v>tonkilometer / jaar</v>
      </c>
    </row>
    <row r="709" spans="4:8" ht="1.95" customHeight="1" x14ac:dyDescent="0.3"/>
    <row r="710" spans="4:8" ht="13.95" customHeight="1" x14ac:dyDescent="0.3">
      <c r="F710" s="68" t="s">
        <v>691</v>
      </c>
      <c r="G710" s="66">
        <f>G703*$G$708</f>
        <v>41738.892</v>
      </c>
      <c r="H710" t="s">
        <v>671</v>
      </c>
    </row>
    <row r="711" spans="4:8" ht="13.95" customHeight="1" x14ac:dyDescent="0.3">
      <c r="F711" s="68" t="s">
        <v>990</v>
      </c>
      <c r="G711" s="66">
        <f t="shared" ref="G711:G713" si="18">G704*$G$708</f>
        <v>1534326.3416000002</v>
      </c>
      <c r="H711" t="s">
        <v>671</v>
      </c>
    </row>
    <row r="712" spans="4:8" ht="13.95" customHeight="1" x14ac:dyDescent="0.3">
      <c r="F712" s="68" t="s">
        <v>991</v>
      </c>
      <c r="G712" s="66">
        <f t="shared" si="18"/>
        <v>312.11439999999999</v>
      </c>
      <c r="H712" t="s">
        <v>471</v>
      </c>
    </row>
    <row r="713" spans="4:8" ht="13.95" customHeight="1" x14ac:dyDescent="0.3">
      <c r="F713" s="68" t="s">
        <v>992</v>
      </c>
      <c r="G713" s="66">
        <f t="shared" si="18"/>
        <v>98872.8</v>
      </c>
      <c r="H713" t="s">
        <v>672</v>
      </c>
    </row>
    <row r="714" spans="4:8" ht="13.95" customHeight="1" x14ac:dyDescent="0.3"/>
    <row r="715" spans="4:8" ht="13.95" customHeight="1" x14ac:dyDescent="0.3">
      <c r="D715" t="s">
        <v>954</v>
      </c>
    </row>
    <row r="716" spans="4:8" ht="13.95" customHeight="1" x14ac:dyDescent="0.3">
      <c r="F716" s="64" t="str">
        <f xml:space="preserve"> F$656</f>
        <v>Impact vervoer ong. recl. normaal, Drukker -&gt; Spotta verpaklocatie, hernieuwbare energie</v>
      </c>
      <c r="G716" s="67">
        <f xml:space="preserve"> G$656</f>
        <v>3918.8536437258786</v>
      </c>
      <c r="H716" s="64" t="str">
        <f xml:space="preserve"> H$656</f>
        <v>MJ-eq</v>
      </c>
    </row>
    <row r="717" spans="4:8" ht="13.95" customHeight="1" x14ac:dyDescent="0.3">
      <c r="F717" s="64" t="str">
        <f xml:space="preserve"> F$657</f>
        <v>Impact vervoer ong. recl. normaal, Drukker -&gt; Spotta verpaklocatie, niet-hernieuwbare energie</v>
      </c>
      <c r="G717" s="67">
        <f xml:space="preserve"> G$657</f>
        <v>272465.06499228009</v>
      </c>
      <c r="H717" s="64" t="str">
        <f xml:space="preserve"> H$657</f>
        <v>MJ-eq</v>
      </c>
    </row>
    <row r="718" spans="4:8" ht="13.95" customHeight="1" x14ac:dyDescent="0.3">
      <c r="F718" s="64" t="str">
        <f xml:space="preserve"> F$658</f>
        <v>Impact vervoer ong. recl. normaal, Drukker -&gt; Spotta verpaklocatie, water</v>
      </c>
      <c r="G718" s="67">
        <f xml:space="preserve"> G$658</f>
        <v>52.043352729382221</v>
      </c>
      <c r="H718" s="64" t="str">
        <f xml:space="preserve"> H$658</f>
        <v>m3</v>
      </c>
    </row>
    <row r="719" spans="4:8" ht="13.95" customHeight="1" x14ac:dyDescent="0.3">
      <c r="F719" s="64" t="str">
        <f xml:space="preserve"> F$659</f>
        <v>Impact vervoer ong. recl. normaal, Drukker -&gt; Spotta verpaklocatie, GWP100</v>
      </c>
      <c r="G719" s="67">
        <f xml:space="preserve"> G$659</f>
        <v>17049.975644365535</v>
      </c>
      <c r="H719" s="64" t="str">
        <f xml:space="preserve"> H$659</f>
        <v>kg CO2-eq</v>
      </c>
    </row>
    <row r="720" spans="4:8" ht="1.95" customHeight="1" x14ac:dyDescent="0.3"/>
    <row r="721" spans="3:8" ht="13.95" customHeight="1" x14ac:dyDescent="0.3">
      <c r="F721" s="64" t="str">
        <f xml:space="preserve"> F$683</f>
        <v>Impact vervoer, ong. recl. normaal, Spotta -&gt; lokaal (truck), hernieuwbare energie</v>
      </c>
      <c r="G721" s="67">
        <f xml:space="preserve"> G$683</f>
        <v>5281.908816930958</v>
      </c>
      <c r="H721" s="64" t="str">
        <f xml:space="preserve"> H$683</f>
        <v>MJ-eq</v>
      </c>
    </row>
    <row r="722" spans="3:8" ht="13.95" customHeight="1" x14ac:dyDescent="0.3">
      <c r="F722" s="64" t="str">
        <f xml:space="preserve"> F$684</f>
        <v>Impact vervoer, ong. recl. normaal, Spotta -&gt; lokaal (truck), niet-hernieuwbare energie</v>
      </c>
      <c r="G722" s="67">
        <f xml:space="preserve"> G$684</f>
        <v>372555.59814297955</v>
      </c>
      <c r="H722" s="64" t="str">
        <f xml:space="preserve"> H$684</f>
        <v>MJ-eq</v>
      </c>
    </row>
    <row r="723" spans="3:8" ht="13.95" customHeight="1" x14ac:dyDescent="0.3">
      <c r="F723" s="64" t="str">
        <f xml:space="preserve"> F$685</f>
        <v>Impact vervoer,ong. recl. normaal, Spotta -&gt; lokaal (truck), water</v>
      </c>
      <c r="G723" s="67">
        <f xml:space="preserve"> G$685</f>
        <v>70.452113585351697</v>
      </c>
      <c r="H723" s="64" t="str">
        <f xml:space="preserve"> H$685</f>
        <v>m3</v>
      </c>
    </row>
    <row r="724" spans="3:8" ht="13.95" customHeight="1" x14ac:dyDescent="0.3">
      <c r="F724" s="64" t="str">
        <f xml:space="preserve"> F$686</f>
        <v>Impact vervoer, ong. recl. normaal, Spotta -&gt; lokaal (truck), GWP100</v>
      </c>
      <c r="G724" s="67">
        <f xml:space="preserve"> G$686</f>
        <v>23396.932278632641</v>
      </c>
      <c r="H724" s="64" t="str">
        <f xml:space="preserve"> H$686</f>
        <v>kg CO2-eq</v>
      </c>
    </row>
    <row r="725" spans="3:8" ht="1.95" customHeight="1" x14ac:dyDescent="0.3"/>
    <row r="726" spans="3:8" ht="13.95" customHeight="1" x14ac:dyDescent="0.3">
      <c r="F726" s="64" t="str">
        <f xml:space="preserve"> F$710</f>
        <v>Impact vervoer,ong. recl. normaal, Spotta -&gt; lokaal (busje), hernieuwbare energie</v>
      </c>
      <c r="G726" s="67">
        <f xml:space="preserve"> G$710</f>
        <v>41738.892</v>
      </c>
      <c r="H726" s="64" t="str">
        <f xml:space="preserve"> H$710</f>
        <v>MJ-eq</v>
      </c>
    </row>
    <row r="727" spans="3:8" ht="13.95" customHeight="1" x14ac:dyDescent="0.3">
      <c r="F727" s="64" t="str">
        <f xml:space="preserve"> F$711</f>
        <v>Impact vervoer,ong. recl. normaal, Spotta -&gt; lokaal (busje), niet-hernieuwbare energie</v>
      </c>
      <c r="G727" s="67">
        <f xml:space="preserve"> G$711</f>
        <v>1534326.3416000002</v>
      </c>
      <c r="H727" s="64" t="str">
        <f xml:space="preserve"> H$711</f>
        <v>MJ-eq</v>
      </c>
    </row>
    <row r="728" spans="3:8" ht="13.95" customHeight="1" x14ac:dyDescent="0.3">
      <c r="F728" s="64" t="str">
        <f xml:space="preserve"> F$712</f>
        <v>Impact vervoer,ong. recl. normaal, Spotta -&gt; lokaal (busje), water</v>
      </c>
      <c r="G728" s="67">
        <f xml:space="preserve"> G$712</f>
        <v>312.11439999999999</v>
      </c>
      <c r="H728" s="64" t="str">
        <f xml:space="preserve"> H$712</f>
        <v>m3</v>
      </c>
    </row>
    <row r="729" spans="3:8" ht="13.95" customHeight="1" x14ac:dyDescent="0.3">
      <c r="F729" s="64" t="str">
        <f xml:space="preserve"> F$713</f>
        <v>Impact vervoer,ong. recl. normaal, Spotta -&gt; lokaal (busje), GWP100</v>
      </c>
      <c r="G729" s="67">
        <f xml:space="preserve"> G$713</f>
        <v>98872.8</v>
      </c>
      <c r="H729" s="64" t="str">
        <f xml:space="preserve"> H$713</f>
        <v>kg CO2-eq</v>
      </c>
    </row>
    <row r="730" spans="3:8" ht="1.95" customHeight="1" x14ac:dyDescent="0.3"/>
    <row r="731" spans="3:8" ht="13.95" customHeight="1" x14ac:dyDescent="0.3">
      <c r="F731" s="81" t="s">
        <v>983</v>
      </c>
      <c r="G731" s="101">
        <f>G716+G721+G726</f>
        <v>50939.654460656835</v>
      </c>
      <c r="H731" s="64" t="str">
        <f xml:space="preserve"> H$710</f>
        <v>MJ-eq</v>
      </c>
    </row>
    <row r="732" spans="3:8" ht="13.95" customHeight="1" x14ac:dyDescent="0.3">
      <c r="F732" s="81" t="s">
        <v>987</v>
      </c>
      <c r="G732" s="101">
        <f t="shared" ref="G732:G734" si="19">G717+G722+G727</f>
        <v>2179347.0047352598</v>
      </c>
      <c r="H732" s="64" t="str">
        <f xml:space="preserve"> H$711</f>
        <v>MJ-eq</v>
      </c>
    </row>
    <row r="733" spans="3:8" ht="13.95" customHeight="1" x14ac:dyDescent="0.3">
      <c r="F733" s="81" t="s">
        <v>988</v>
      </c>
      <c r="G733" s="101">
        <f t="shared" si="19"/>
        <v>434.60986631473389</v>
      </c>
      <c r="H733" s="64" t="str">
        <f xml:space="preserve"> H$712</f>
        <v>m3</v>
      </c>
    </row>
    <row r="734" spans="3:8" ht="13.95" customHeight="1" x14ac:dyDescent="0.3">
      <c r="F734" s="81" t="s">
        <v>989</v>
      </c>
      <c r="G734" s="101">
        <f t="shared" si="19"/>
        <v>139319.70792299818</v>
      </c>
      <c r="H734" s="64" t="str">
        <f xml:space="preserve"> H$713</f>
        <v>kg CO2-eq</v>
      </c>
    </row>
    <row r="735" spans="3:8" ht="13.95" customHeight="1" x14ac:dyDescent="0.3"/>
    <row r="736" spans="3:8" ht="13.95" customHeight="1" x14ac:dyDescent="0.3">
      <c r="C736" s="57" t="s">
        <v>971</v>
      </c>
    </row>
    <row r="737" spans="4:10" ht="13.95" customHeight="1" x14ac:dyDescent="0.3">
      <c r="D737" t="s">
        <v>963</v>
      </c>
      <c r="J737" t="s">
        <v>978</v>
      </c>
    </row>
    <row r="738" spans="4:10" ht="13.95" customHeight="1" x14ac:dyDescent="0.3">
      <c r="F738" s="46" t="str">
        <f xml:space="preserve"> Inputs!E$186</f>
        <v>Afstand druklocatie HAH -&gt; Gemeente</v>
      </c>
      <c r="G738" s="46">
        <f xml:space="preserve"> Inputs!F$186</f>
        <v>50</v>
      </c>
      <c r="H738" s="46" t="str">
        <f xml:space="preserve"> Inputs!G$186</f>
        <v>km</v>
      </c>
    </row>
    <row r="739" spans="4:10" ht="1.95" customHeight="1" x14ac:dyDescent="0.3">
      <c r="F739" s="107"/>
      <c r="G739" s="59"/>
      <c r="H739" s="59"/>
    </row>
    <row r="740" spans="4:10" ht="13.95" customHeight="1" x14ac:dyDescent="0.3">
      <c r="F740" s="95" t="str">
        <f xml:space="preserve"> F$738</f>
        <v>Afstand druklocatie HAH -&gt; Gemeente</v>
      </c>
      <c r="G740" s="67">
        <f xml:space="preserve"> G$738</f>
        <v>50</v>
      </c>
      <c r="H740" s="64" t="str">
        <f xml:space="preserve"> H$738</f>
        <v>km</v>
      </c>
    </row>
    <row r="741" spans="4:10" ht="13.95" customHeight="1" x14ac:dyDescent="0.3">
      <c r="F741" s="95" t="str">
        <f xml:space="preserve"> F$596</f>
        <v>Wekelijkse gewicht, huis-aan-huis</v>
      </c>
      <c r="G741" s="67">
        <f xml:space="preserve"> G$596</f>
        <v>3315</v>
      </c>
      <c r="H741" s="64" t="str">
        <f xml:space="preserve"> H$596</f>
        <v>kg / week</v>
      </c>
    </row>
    <row r="742" spans="4:10" ht="13.95" customHeight="1" x14ac:dyDescent="0.3">
      <c r="F742" s="86" t="str">
        <f xml:space="preserve"> Inputs!E$11</f>
        <v>Aantal weken per jaar</v>
      </c>
      <c r="G742" s="46">
        <f xml:space="preserve"> Inputs!F$11</f>
        <v>52</v>
      </c>
      <c r="H742" s="46" t="str">
        <f xml:space="preserve"> Inputs!G$11</f>
        <v>weken / jaar</v>
      </c>
    </row>
    <row r="743" spans="4:10" ht="13.95" customHeight="1" x14ac:dyDescent="0.3">
      <c r="F743" s="86" t="str">
        <f xml:space="preserve"> Inputs!E$10</f>
        <v>Aantal gram per kilo</v>
      </c>
      <c r="G743" s="46">
        <f xml:space="preserve"> Inputs!F$10</f>
        <v>1000</v>
      </c>
      <c r="H743" s="46" t="str">
        <f xml:space="preserve"> Inputs!G$10</f>
        <v>gram / kilo</v>
      </c>
    </row>
    <row r="744" spans="4:10" ht="1.95" customHeight="1" x14ac:dyDescent="0.3">
      <c r="F744" s="109"/>
      <c r="G744" s="108"/>
      <c r="H744" s="58"/>
    </row>
    <row r="745" spans="4:10" ht="13.95" customHeight="1" x14ac:dyDescent="0.3">
      <c r="F745" s="112" t="s">
        <v>973</v>
      </c>
      <c r="G745" s="73">
        <f>G740*G741*G742/G743</f>
        <v>8619</v>
      </c>
      <c r="H745" s="68" t="s">
        <v>670</v>
      </c>
    </row>
    <row r="746" spans="4:10" ht="13.95" customHeight="1" x14ac:dyDescent="0.3">
      <c r="F746" s="109"/>
      <c r="G746" s="108"/>
      <c r="H746" s="58"/>
    </row>
    <row r="747" spans="4:10" ht="13.95" customHeight="1" x14ac:dyDescent="0.3">
      <c r="D747" t="s">
        <v>980</v>
      </c>
      <c r="F747" s="109"/>
      <c r="G747" s="108"/>
      <c r="H747" s="58"/>
    </row>
    <row r="748" spans="4:10" ht="13.95" customHeight="1" x14ac:dyDescent="0.3">
      <c r="F748" s="68" t="str">
        <f xml:space="preserve"> F$94</f>
        <v>Afstand distributie naar lokaal, busje</v>
      </c>
      <c r="G748" s="113">
        <f xml:space="preserve"> G$94</f>
        <v>1000</v>
      </c>
      <c r="H748" s="68" t="str">
        <f xml:space="preserve"> H$94</f>
        <v>km</v>
      </c>
    </row>
    <row r="749" spans="4:10" ht="13.95" customHeight="1" x14ac:dyDescent="0.3">
      <c r="F749" s="95" t="str">
        <f xml:space="preserve"> F$596</f>
        <v>Wekelijkse gewicht, huis-aan-huis</v>
      </c>
      <c r="G749" s="67">
        <f>IF(G71="Volledig digitaal",0,1000)</f>
        <v>1000</v>
      </c>
      <c r="H749" s="64" t="str">
        <f xml:space="preserve"> H$596</f>
        <v>kg / week</v>
      </c>
      <c r="J749" t="s">
        <v>1175</v>
      </c>
    </row>
    <row r="750" spans="4:10" ht="13.95" customHeight="1" x14ac:dyDescent="0.3">
      <c r="F750" s="86" t="str">
        <f xml:space="preserve"> Inputs!E$11</f>
        <v>Aantal weken per jaar</v>
      </c>
      <c r="G750" s="46">
        <f xml:space="preserve"> Inputs!F$11</f>
        <v>52</v>
      </c>
      <c r="H750" s="46" t="str">
        <f xml:space="preserve"> Inputs!G$11</f>
        <v>weken / jaar</v>
      </c>
    </row>
    <row r="751" spans="4:10" ht="13.95" customHeight="1" x14ac:dyDescent="0.3">
      <c r="F751" s="86" t="str">
        <f xml:space="preserve"> Inputs!E$10</f>
        <v>Aantal gram per kilo</v>
      </c>
      <c r="G751" s="46">
        <f xml:space="preserve"> Inputs!F$10</f>
        <v>1000</v>
      </c>
      <c r="H751" s="46" t="str">
        <f xml:space="preserve"> Inputs!G$10</f>
        <v>gram / kilo</v>
      </c>
    </row>
    <row r="752" spans="4:10" ht="1.95" customHeight="1" x14ac:dyDescent="0.3">
      <c r="F752" s="58"/>
      <c r="G752" s="110"/>
      <c r="H752" s="58"/>
    </row>
    <row r="753" spans="3:8" ht="13.95" customHeight="1" x14ac:dyDescent="0.3">
      <c r="F753" s="112" t="s">
        <v>972</v>
      </c>
      <c r="G753" s="73">
        <f>G748*G749*G750/G751</f>
        <v>52000</v>
      </c>
      <c r="H753" s="68" t="s">
        <v>670</v>
      </c>
    </row>
    <row r="754" spans="3:8" ht="13.95" customHeight="1" x14ac:dyDescent="0.3">
      <c r="F754" s="58"/>
      <c r="G754" s="110"/>
      <c r="H754" s="58"/>
    </row>
    <row r="755" spans="3:8" ht="13.95" customHeight="1" x14ac:dyDescent="0.3">
      <c r="C755" s="57" t="s">
        <v>982</v>
      </c>
      <c r="F755" s="107"/>
      <c r="G755" s="59"/>
      <c r="H755" s="59"/>
    </row>
    <row r="756" spans="3:8" ht="13.95" customHeight="1" x14ac:dyDescent="0.3">
      <c r="D756" t="s">
        <v>963</v>
      </c>
      <c r="F756" s="107"/>
      <c r="G756" s="59"/>
      <c r="H756" s="59"/>
    </row>
    <row r="757" spans="3:8" ht="13.95" customHeight="1" x14ac:dyDescent="0.3">
      <c r="F757" s="86" t="str">
        <f xml:space="preserve"> Inputs!E$198</f>
        <v>Vervoer (vrachtwagen, EURO6, diesel, 16-32 ton), hernieuwbare energie, biomassa</v>
      </c>
      <c r="G757" s="74">
        <f xml:space="preserve"> Inputs!F$198</f>
        <v>1.3207E-2</v>
      </c>
      <c r="H757" s="46" t="str">
        <f xml:space="preserve"> Inputs!G$198</f>
        <v>MJ-eq / tonkm</v>
      </c>
    </row>
    <row r="758" spans="3:8" ht="13.95" customHeight="1" x14ac:dyDescent="0.3">
      <c r="F758" s="86" t="str">
        <f xml:space="preserve"> Inputs!E$199</f>
        <v>Vervoer (vrachtwagen, EURO6, diesel, 16-32 ton), hernieuwbare energie, geothermie</v>
      </c>
      <c r="G758" s="74">
        <f xml:space="preserve"> Inputs!F$199</f>
        <v>4.6069999999999998E-4</v>
      </c>
      <c r="H758" s="46" t="str">
        <f xml:space="preserve"> Inputs!G$199</f>
        <v>MJ-eq / tonkm</v>
      </c>
    </row>
    <row r="759" spans="3:8" ht="13.95" customHeight="1" x14ac:dyDescent="0.3">
      <c r="F759" s="86" t="str">
        <f xml:space="preserve"> Inputs!E$200</f>
        <v>Vervoer (vrachtwagen, EURO6, diesel, 16-32 ton), hernieuwbare energie, zon</v>
      </c>
      <c r="G759" s="74">
        <f xml:space="preserve"> Inputs!F$200</f>
        <v>3.5680999999999999E-4</v>
      </c>
      <c r="H759" s="46" t="str">
        <f xml:space="preserve"> Inputs!G$200</f>
        <v>MJ-eq / tonkm</v>
      </c>
    </row>
    <row r="760" spans="3:8" ht="13.95" customHeight="1" x14ac:dyDescent="0.3">
      <c r="F760" s="86" t="str">
        <f xml:space="preserve"> Inputs!E$201</f>
        <v>Vervoer (vrachtwagen, EURO6, diesel, 16-32 ton), hernieuwbare energie, water</v>
      </c>
      <c r="G760" s="74">
        <f xml:space="preserve"> Inputs!F$201</f>
        <v>1.9185000000000001E-2</v>
      </c>
      <c r="H760" s="46" t="str">
        <f xml:space="preserve"> Inputs!G$201</f>
        <v>MJ-eq / tonkm</v>
      </c>
    </row>
    <row r="761" spans="3:8" ht="13.95" customHeight="1" x14ac:dyDescent="0.3">
      <c r="F761" s="86" t="str">
        <f xml:space="preserve"> Inputs!E$202</f>
        <v>Vervoer (vrachtwagen, EURO6, diesel, 16-32 ton), hernieuwbare energie, wind</v>
      </c>
      <c r="G761" s="74">
        <f xml:space="preserve"> Inputs!F$202</f>
        <v>4.4689999999999999E-3</v>
      </c>
      <c r="H761" s="46" t="str">
        <f xml:space="preserve"> Inputs!G$202</f>
        <v>MJ-eq / tonkm</v>
      </c>
    </row>
    <row r="762" spans="3:8" ht="1.95" customHeight="1" x14ac:dyDescent="0.3">
      <c r="F762" s="86"/>
      <c r="G762" s="74"/>
      <c r="H762" s="46"/>
    </row>
    <row r="763" spans="3:8" ht="13.95" customHeight="1" x14ac:dyDescent="0.3">
      <c r="F763" s="86" t="str">
        <f xml:space="preserve"> Inputs!E$204</f>
        <v>Vervoer (vrachtwagen, EURO6, diesel, 16-32 ton), niet-hernieuwbare energie, fossiel</v>
      </c>
      <c r="G763" s="74">
        <f xml:space="preserve"> Inputs!F$204</f>
        <v>2.5663999999999998</v>
      </c>
      <c r="H763" s="46" t="str">
        <f xml:space="preserve"> Inputs!G$204</f>
        <v>MJ-eq / tonkm</v>
      </c>
    </row>
    <row r="764" spans="3:8" ht="13.95" customHeight="1" x14ac:dyDescent="0.3">
      <c r="F764" s="86" t="str">
        <f xml:space="preserve"> Inputs!E$205</f>
        <v>Vervoer (vrachtwagen, EURO6, diesel, 16-32 ton), niet-hernieuwbare energie, nucleair</v>
      </c>
      <c r="G764" s="74">
        <f xml:space="preserve"> Inputs!F$205</f>
        <v>5.3193999999999998E-2</v>
      </c>
      <c r="H764" s="46" t="str">
        <f xml:space="preserve"> Inputs!G$205</f>
        <v>MJ-eq / tonkm</v>
      </c>
    </row>
    <row r="765" spans="3:8" ht="13.95" customHeight="1" x14ac:dyDescent="0.3">
      <c r="F765" s="86" t="str">
        <f xml:space="preserve"> Inputs!E$206</f>
        <v>Vervoer (vrachtwagen, EURO6, diesel, 16-32 ton), niet-hernieuwbare energie, oerbos</v>
      </c>
      <c r="G765" s="74">
        <f xml:space="preserve"> Inputs!F$206</f>
        <v>6.9455000000000005E-5</v>
      </c>
      <c r="H765" s="46" t="str">
        <f xml:space="preserve"> Inputs!G$206</f>
        <v>MJ-eq / tonkm</v>
      </c>
    </row>
    <row r="766" spans="3:8" ht="1.95" customHeight="1" x14ac:dyDescent="0.3">
      <c r="F766" s="86"/>
      <c r="G766" s="74"/>
      <c r="H766" s="46"/>
    </row>
    <row r="767" spans="3:8" ht="13.95" customHeight="1" x14ac:dyDescent="0.3">
      <c r="F767" s="86" t="str">
        <f xml:space="preserve"> Inputs!E$208</f>
        <v>Vervoer (vrachtwagen, EURO6, diesel, 16-32 ton), water</v>
      </c>
      <c r="G767" s="74">
        <f xml:space="preserve"> Inputs!F$208</f>
        <v>5.0038000000000003E-4</v>
      </c>
      <c r="H767" s="46" t="str">
        <f xml:space="preserve"> Inputs!G$208</f>
        <v>m3 / tonkm</v>
      </c>
    </row>
    <row r="768" spans="3:8" ht="1.95" customHeight="1" x14ac:dyDescent="0.3">
      <c r="F768" s="86"/>
      <c r="G768" s="74"/>
      <c r="H768" s="46"/>
    </row>
    <row r="769" spans="4:8" ht="13.95" customHeight="1" x14ac:dyDescent="0.3">
      <c r="F769" s="86" t="str">
        <f xml:space="preserve"> Inputs!E$210</f>
        <v>Vervoer (vrachtwagen, EURO6, diesel, 16-32 ton), GWP100</v>
      </c>
      <c r="G769" s="74">
        <f xml:space="preserve"> Inputs!F$210</f>
        <v>0.16392999999999999</v>
      </c>
      <c r="H769" s="46" t="str">
        <f xml:space="preserve"> Inputs!G$210</f>
        <v>kg CO2-eq / tonkm</v>
      </c>
    </row>
    <row r="770" spans="4:8" ht="13.95" customHeight="1" x14ac:dyDescent="0.3">
      <c r="F770" s="107"/>
      <c r="G770" s="59"/>
      <c r="H770" s="59"/>
    </row>
    <row r="771" spans="4:8" ht="13.95" customHeight="1" x14ac:dyDescent="0.3">
      <c r="F771" s="68" t="s">
        <v>661</v>
      </c>
      <c r="G771" s="75">
        <f>SUM(G757:G761)</f>
        <v>3.7678509999999998E-2</v>
      </c>
      <c r="H771" s="68" t="s">
        <v>668</v>
      </c>
    </row>
    <row r="772" spans="4:8" ht="13.95" customHeight="1" x14ac:dyDescent="0.3">
      <c r="F772" s="68" t="s">
        <v>662</v>
      </c>
      <c r="G772" s="75">
        <f>SUM(G763:G765)</f>
        <v>2.619663455</v>
      </c>
      <c r="H772" s="68" t="s">
        <v>668</v>
      </c>
    </row>
    <row r="773" spans="4:8" ht="13.95" customHeight="1" x14ac:dyDescent="0.3">
      <c r="F773" s="68" t="s">
        <v>659</v>
      </c>
      <c r="G773" s="75">
        <f>G767</f>
        <v>5.0038000000000003E-4</v>
      </c>
      <c r="H773" s="68" t="s">
        <v>669</v>
      </c>
    </row>
    <row r="774" spans="4:8" ht="13.95" customHeight="1" x14ac:dyDescent="0.3">
      <c r="F774" s="68" t="s">
        <v>660</v>
      </c>
      <c r="G774" s="75">
        <f>G769</f>
        <v>0.16392999999999999</v>
      </c>
      <c r="H774" s="68" t="s">
        <v>33</v>
      </c>
    </row>
    <row r="775" spans="4:8" ht="1.95" customHeight="1" x14ac:dyDescent="0.3">
      <c r="F775" s="107"/>
      <c r="G775" s="59"/>
      <c r="H775" s="59"/>
    </row>
    <row r="776" spans="4:8" ht="13.95" customHeight="1" x14ac:dyDescent="0.3">
      <c r="F776" s="95" t="str">
        <f xml:space="preserve"> F$745</f>
        <v>Tonkilometer HAH Drukker -&gt; verpaklocatie</v>
      </c>
      <c r="G776" s="67">
        <f xml:space="preserve"> G$745</f>
        <v>8619</v>
      </c>
      <c r="H776" s="64" t="str">
        <f xml:space="preserve"> H$745</f>
        <v>tonkilometer / jaar</v>
      </c>
    </row>
    <row r="777" spans="4:8" ht="1.95" customHeight="1" x14ac:dyDescent="0.3">
      <c r="F777" s="107"/>
      <c r="G777" s="59"/>
      <c r="H777" s="59"/>
    </row>
    <row r="778" spans="4:8" ht="13.95" customHeight="1" x14ac:dyDescent="0.3">
      <c r="F778" s="68" t="s">
        <v>974</v>
      </c>
      <c r="G778" s="73">
        <f>G771*$G$776</f>
        <v>324.75107768999999</v>
      </c>
      <c r="H778" s="80" t="s">
        <v>671</v>
      </c>
    </row>
    <row r="779" spans="4:8" ht="13.95" customHeight="1" x14ac:dyDescent="0.3">
      <c r="F779" s="68" t="s">
        <v>975</v>
      </c>
      <c r="G779" s="73">
        <f t="shared" ref="G779:G781" si="20">G772*$G$776</f>
        <v>22578.879318644998</v>
      </c>
      <c r="H779" s="80" t="s">
        <v>671</v>
      </c>
    </row>
    <row r="780" spans="4:8" ht="13.95" customHeight="1" x14ac:dyDescent="0.3">
      <c r="F780" s="68" t="s">
        <v>976</v>
      </c>
      <c r="G780" s="73">
        <f t="shared" si="20"/>
        <v>4.3127752200000007</v>
      </c>
      <c r="H780" s="80" t="s">
        <v>471</v>
      </c>
    </row>
    <row r="781" spans="4:8" ht="13.95" customHeight="1" x14ac:dyDescent="0.3">
      <c r="F781" s="68" t="s">
        <v>977</v>
      </c>
      <c r="G781" s="73">
        <f t="shared" si="20"/>
        <v>1412.9126699999999</v>
      </c>
      <c r="H781" s="80" t="s">
        <v>672</v>
      </c>
    </row>
    <row r="782" spans="4:8" ht="13.95" customHeight="1" x14ac:dyDescent="0.3">
      <c r="F782" s="59"/>
      <c r="G782" s="59"/>
      <c r="H782" s="59"/>
    </row>
    <row r="783" spans="4:8" ht="13.95" customHeight="1" x14ac:dyDescent="0.3">
      <c r="D783" t="s">
        <v>980</v>
      </c>
      <c r="F783" s="59"/>
      <c r="G783" s="59"/>
      <c r="H783" s="59"/>
    </row>
    <row r="784" spans="4:8" ht="13.95" customHeight="1" x14ac:dyDescent="0.3">
      <c r="F784" s="46" t="str">
        <f xml:space="preserve"> Inputs!E$245</f>
        <v>Vervoer, klein vervoer busje, hernieuwbare energie, biomassa</v>
      </c>
      <c r="G784" s="74">
        <f xml:space="preserve"> Inputs!F$245</f>
        <v>0.2263</v>
      </c>
      <c r="H784" s="46" t="str">
        <f xml:space="preserve"> Inputs!G$245</f>
        <v>MJ-eq / tonkm</v>
      </c>
    </row>
    <row r="785" spans="6:8" ht="13.95" customHeight="1" x14ac:dyDescent="0.3">
      <c r="F785" s="46" t="str">
        <f xml:space="preserve"> Inputs!E$246</f>
        <v>Vervoer, klein vervoer busje, hernieuwbare energie, geothermie</v>
      </c>
      <c r="G785" s="74">
        <f xml:space="preserve"> Inputs!F$246</f>
        <v>1.0767000000000001E-2</v>
      </c>
      <c r="H785" s="46" t="str">
        <f xml:space="preserve"> Inputs!G$246</f>
        <v>MJ-eq / tonkm</v>
      </c>
    </row>
    <row r="786" spans="6:8" ht="13.95" customHeight="1" x14ac:dyDescent="0.3">
      <c r="F786" s="46" t="str">
        <f xml:space="preserve"> Inputs!E$247</f>
        <v>Vervoer, klein vervoer busje, hernieuwbare energie, zon</v>
      </c>
      <c r="G786" s="74">
        <f xml:space="preserve"> Inputs!F$247</f>
        <v>4.0924000000000002E-2</v>
      </c>
      <c r="H786" s="46" t="str">
        <f xml:space="preserve"> Inputs!G$247</f>
        <v>MJ-eq / tonkm</v>
      </c>
    </row>
    <row r="787" spans="6:8" ht="13.95" customHeight="1" x14ac:dyDescent="0.3">
      <c r="F787" s="46" t="str">
        <f xml:space="preserve"> Inputs!E$248</f>
        <v>Vervoer, klein vervoer busje, hernieuwbare energie, water</v>
      </c>
      <c r="G787" s="74">
        <f xml:space="preserve"> Inputs!F$248</f>
        <v>0.39716000000000001</v>
      </c>
      <c r="H787" s="46" t="str">
        <f xml:space="preserve"> Inputs!G$248</f>
        <v>MJ-eq / tonkm</v>
      </c>
    </row>
    <row r="788" spans="6:8" ht="13.95" customHeight="1" x14ac:dyDescent="0.3">
      <c r="F788" s="46" t="str">
        <f xml:space="preserve"> Inputs!E$249</f>
        <v>Vervoer, klein vervoer busje, hernieuwbare energie, wind</v>
      </c>
      <c r="G788" s="74">
        <f xml:space="preserve"> Inputs!F$249</f>
        <v>0.12751999999999999</v>
      </c>
      <c r="H788" s="46" t="str">
        <f xml:space="preserve"> Inputs!G$249</f>
        <v>MJ-eq / tonkm</v>
      </c>
    </row>
    <row r="789" spans="6:8" ht="1.95" customHeight="1" x14ac:dyDescent="0.3">
      <c r="F789" s="46"/>
      <c r="G789" s="74"/>
      <c r="H789" s="46"/>
    </row>
    <row r="790" spans="6:8" ht="13.95" customHeight="1" x14ac:dyDescent="0.3">
      <c r="F790" s="46" t="str">
        <f xml:space="preserve"> Inputs!E$251</f>
        <v>Vervoer, klein vervoer busje, niet-hernieuwbare energie, fossiel</v>
      </c>
      <c r="G790" s="74">
        <f xml:space="preserve"> Inputs!F$251</f>
        <v>28.030999999999999</v>
      </c>
      <c r="H790" s="46" t="str">
        <f xml:space="preserve"> Inputs!G$251</f>
        <v>MJ-eq / tonkm</v>
      </c>
    </row>
    <row r="791" spans="6:8" ht="13.95" customHeight="1" x14ac:dyDescent="0.3">
      <c r="F791" s="46" t="str">
        <f xml:space="preserve"> Inputs!E$252</f>
        <v>Vervoer, klein vervoer busje, niet-hernieuwbare energie, nucleair</v>
      </c>
      <c r="G791" s="74">
        <f xml:space="preserve"> Inputs!F$252</f>
        <v>1.4738</v>
      </c>
      <c r="H791" s="46" t="str">
        <f xml:space="preserve"> Inputs!G$252</f>
        <v>MJ-eq / tonkm</v>
      </c>
    </row>
    <row r="792" spans="6:8" ht="13.95" customHeight="1" x14ac:dyDescent="0.3">
      <c r="F792" s="46" t="str">
        <f xml:space="preserve"> Inputs!E$253</f>
        <v>Vervoer, klein vervoer busje, niet-hernieuwbare energie, oerbos</v>
      </c>
      <c r="G792" s="74">
        <f xml:space="preserve"> Inputs!F$253</f>
        <v>1.4758E-3</v>
      </c>
      <c r="H792" s="46" t="str">
        <f xml:space="preserve"> Inputs!G$253</f>
        <v>MJ-eq / tonkm</v>
      </c>
    </row>
    <row r="793" spans="6:8" ht="1.95" customHeight="1" x14ac:dyDescent="0.3">
      <c r="F793" s="46"/>
      <c r="G793" s="74"/>
      <c r="H793" s="46"/>
    </row>
    <row r="794" spans="6:8" ht="13.95" customHeight="1" x14ac:dyDescent="0.3">
      <c r="F794" s="46" t="str">
        <f xml:space="preserve"> Inputs!E$255</f>
        <v>Vervoer, klein vervoer busje, water</v>
      </c>
      <c r="G794" s="74">
        <f xml:space="preserve"> Inputs!F$255</f>
        <v>6.0022000000000001E-3</v>
      </c>
      <c r="H794" s="46" t="str">
        <f xml:space="preserve"> Inputs!G$255</f>
        <v>m3 / tonkm</v>
      </c>
    </row>
    <row r="795" spans="6:8" ht="1.95" customHeight="1" x14ac:dyDescent="0.3">
      <c r="F795" s="46"/>
      <c r="G795" s="74"/>
      <c r="H795" s="46"/>
    </row>
    <row r="796" spans="6:8" ht="13.95" customHeight="1" x14ac:dyDescent="0.3">
      <c r="F796" s="46" t="str">
        <f xml:space="preserve"> Inputs!E$257</f>
        <v>Vervoer, klein vervoer busje, GWP100</v>
      </c>
      <c r="G796" s="74">
        <f xml:space="preserve"> Inputs!F$257</f>
        <v>1.9014</v>
      </c>
      <c r="H796" s="46" t="str">
        <f xml:space="preserve"> Inputs!G$257</f>
        <v>kg CO2-eq / tonkm</v>
      </c>
    </row>
    <row r="797" spans="6:8" ht="13.95" customHeight="1" x14ac:dyDescent="0.3">
      <c r="F797" s="46"/>
      <c r="G797" s="74"/>
      <c r="H797" s="46"/>
    </row>
    <row r="798" spans="6:8" ht="13.95" customHeight="1" x14ac:dyDescent="0.3">
      <c r="F798" s="68" t="s">
        <v>950</v>
      </c>
      <c r="G798" s="75">
        <f>SUM(G784:G788)</f>
        <v>0.80267100000000002</v>
      </c>
      <c r="H798" s="68" t="s">
        <v>668</v>
      </c>
    </row>
    <row r="799" spans="6:8" ht="13.95" customHeight="1" x14ac:dyDescent="0.3">
      <c r="F799" s="68" t="s">
        <v>951</v>
      </c>
      <c r="G799" s="75">
        <f>SUM(G790:G792)</f>
        <v>29.506275800000001</v>
      </c>
      <c r="H799" s="68" t="s">
        <v>668</v>
      </c>
    </row>
    <row r="800" spans="6:8" ht="13.95" customHeight="1" x14ac:dyDescent="0.3">
      <c r="F800" s="68" t="s">
        <v>952</v>
      </c>
      <c r="G800" s="75">
        <f>G794</f>
        <v>6.0022000000000001E-3</v>
      </c>
      <c r="H800" s="68" t="s">
        <v>669</v>
      </c>
    </row>
    <row r="801" spans="4:8" ht="13.95" customHeight="1" x14ac:dyDescent="0.3">
      <c r="F801" s="68" t="s">
        <v>953</v>
      </c>
      <c r="G801" s="75">
        <f>G796</f>
        <v>1.9014</v>
      </c>
      <c r="H801" s="68" t="s">
        <v>33</v>
      </c>
    </row>
    <row r="802" spans="4:8" ht="1.95" customHeight="1" x14ac:dyDescent="0.3">
      <c r="F802" s="59"/>
      <c r="G802" s="59"/>
      <c r="H802" s="59"/>
    </row>
    <row r="803" spans="4:8" ht="13.95" customHeight="1" x14ac:dyDescent="0.3">
      <c r="F803" s="95" t="str">
        <f xml:space="preserve"> F$753</f>
        <v>Tonkilometer HAH verpaklocatie -&gt; lokaal (busje)</v>
      </c>
      <c r="G803" s="67">
        <f xml:space="preserve"> G$753</f>
        <v>52000</v>
      </c>
      <c r="H803" s="64" t="str">
        <f xml:space="preserve"> H$753</f>
        <v>tonkilometer / jaar</v>
      </c>
    </row>
    <row r="804" spans="4:8" ht="1.95" customHeight="1" x14ac:dyDescent="0.3">
      <c r="F804" s="59"/>
      <c r="G804" s="59"/>
      <c r="H804" s="59"/>
    </row>
    <row r="805" spans="4:8" ht="13.95" customHeight="1" x14ac:dyDescent="0.3">
      <c r="F805" s="68" t="s">
        <v>979</v>
      </c>
      <c r="G805" s="73">
        <f>G798*$G$803</f>
        <v>41738.892</v>
      </c>
      <c r="H805" s="80" t="s">
        <v>671</v>
      </c>
    </row>
    <row r="806" spans="4:8" ht="13.95" customHeight="1" x14ac:dyDescent="0.3">
      <c r="F806" s="68" t="s">
        <v>984</v>
      </c>
      <c r="G806" s="73">
        <f t="shared" ref="G806:G808" si="21">G799*$G$803</f>
        <v>1534326.3416000002</v>
      </c>
      <c r="H806" s="80" t="s">
        <v>671</v>
      </c>
    </row>
    <row r="807" spans="4:8" ht="13.95" customHeight="1" x14ac:dyDescent="0.3">
      <c r="F807" s="68" t="s">
        <v>985</v>
      </c>
      <c r="G807" s="73">
        <f t="shared" si="21"/>
        <v>312.11439999999999</v>
      </c>
      <c r="H807" s="80" t="s">
        <v>471</v>
      </c>
    </row>
    <row r="808" spans="4:8" ht="13.95" customHeight="1" x14ac:dyDescent="0.3">
      <c r="F808" s="68" t="s">
        <v>986</v>
      </c>
      <c r="G808" s="73">
        <f t="shared" si="21"/>
        <v>98872.8</v>
      </c>
      <c r="H808" s="80" t="s">
        <v>672</v>
      </c>
    </row>
    <row r="809" spans="4:8" ht="13.95" customHeight="1" x14ac:dyDescent="0.3">
      <c r="F809" s="59"/>
      <c r="G809" s="59"/>
      <c r="H809" s="59"/>
    </row>
    <row r="810" spans="4:8" ht="13.95" customHeight="1" x14ac:dyDescent="0.3">
      <c r="D810" t="s">
        <v>981</v>
      </c>
      <c r="F810" s="59"/>
      <c r="G810" s="59"/>
      <c r="H810" s="59"/>
    </row>
    <row r="811" spans="4:8" ht="13.95" customHeight="1" x14ac:dyDescent="0.3">
      <c r="F811" s="64" t="str">
        <f xml:space="preserve"> F$778</f>
        <v>Impact vervoer HAH, Drukker -&gt; verpaklocatie, hernieuwbare energie</v>
      </c>
      <c r="G811" s="67">
        <f xml:space="preserve"> G$778</f>
        <v>324.75107768999999</v>
      </c>
      <c r="H811" s="64" t="str">
        <f xml:space="preserve"> H$778</f>
        <v>MJ-eq</v>
      </c>
    </row>
    <row r="812" spans="4:8" ht="13.95" customHeight="1" x14ac:dyDescent="0.3">
      <c r="F812" s="64" t="str">
        <f xml:space="preserve"> F$779</f>
        <v>Impact vervoer HAH, Drukker -&gt; verpaklocatie, niet-hernieuwbare energie</v>
      </c>
      <c r="G812" s="67">
        <f xml:space="preserve"> G$779</f>
        <v>22578.879318644998</v>
      </c>
      <c r="H812" s="64" t="str">
        <f xml:space="preserve"> H$779</f>
        <v>MJ-eq</v>
      </c>
    </row>
    <row r="813" spans="4:8" ht="13.95" customHeight="1" x14ac:dyDescent="0.3">
      <c r="F813" s="64" t="str">
        <f xml:space="preserve"> F$780</f>
        <v>Impact vervoer HAH, Drukker -&gt; verpaklocatie, water</v>
      </c>
      <c r="G813" s="67">
        <f xml:space="preserve"> G$780</f>
        <v>4.3127752200000007</v>
      </c>
      <c r="H813" s="64" t="str">
        <f xml:space="preserve"> H$780</f>
        <v>m3</v>
      </c>
    </row>
    <row r="814" spans="4:8" ht="13.95" customHeight="1" x14ac:dyDescent="0.3">
      <c r="F814" s="64" t="str">
        <f xml:space="preserve"> F$781</f>
        <v>Impact vervoer HAH, Drukker -&gt; verpaklocatie, GWP100</v>
      </c>
      <c r="G814" s="67">
        <f xml:space="preserve"> G$781</f>
        <v>1412.9126699999999</v>
      </c>
      <c r="H814" s="64" t="str">
        <f xml:space="preserve"> H$781</f>
        <v>kg CO2-eq</v>
      </c>
    </row>
    <row r="815" spans="4:8" ht="1.95" customHeight="1" x14ac:dyDescent="0.3">
      <c r="F815" s="59"/>
      <c r="G815" s="59"/>
      <c r="H815" s="59"/>
    </row>
    <row r="816" spans="4:8" ht="13.95" customHeight="1" x14ac:dyDescent="0.3">
      <c r="F816" s="64" t="str">
        <f xml:space="preserve"> F$805</f>
        <v>Impact vervoer,HAH verpaklocatie -&gt; lokaal (busje), hernieuwbare energie</v>
      </c>
      <c r="G816" s="67">
        <f xml:space="preserve"> G$805</f>
        <v>41738.892</v>
      </c>
      <c r="H816" s="64" t="str">
        <f xml:space="preserve"> H$805</f>
        <v>MJ-eq</v>
      </c>
    </row>
    <row r="817" spans="2:8" ht="13.95" customHeight="1" x14ac:dyDescent="0.3">
      <c r="F817" s="64" t="str">
        <f xml:space="preserve"> F$806</f>
        <v>Impact vervoer,HAH verpaklocatie -&gt; lokaal (busje), niet-hernieuwbare energie</v>
      </c>
      <c r="G817" s="67">
        <f xml:space="preserve"> G$806</f>
        <v>1534326.3416000002</v>
      </c>
      <c r="H817" s="64" t="str">
        <f xml:space="preserve"> H$806</f>
        <v>MJ-eq</v>
      </c>
    </row>
    <row r="818" spans="2:8" ht="13.95" customHeight="1" x14ac:dyDescent="0.3">
      <c r="F818" s="64" t="str">
        <f xml:space="preserve"> F$807</f>
        <v>Impact vervoer,HAH verpaklocatie -&gt; lokaal (busje), water</v>
      </c>
      <c r="G818" s="67">
        <f xml:space="preserve"> G$807</f>
        <v>312.11439999999999</v>
      </c>
      <c r="H818" s="64" t="str">
        <f xml:space="preserve"> H$807</f>
        <v>m3</v>
      </c>
    </row>
    <row r="819" spans="2:8" ht="13.95" customHeight="1" x14ac:dyDescent="0.3">
      <c r="F819" s="64" t="str">
        <f xml:space="preserve"> F$808</f>
        <v>Impact vervoer,HAH verpaklocatie -&gt; lokaal (busje), GWP100</v>
      </c>
      <c r="G819" s="67">
        <f xml:space="preserve"> G$808</f>
        <v>98872.8</v>
      </c>
      <c r="H819" s="64" t="str">
        <f xml:space="preserve"> H$808</f>
        <v>kg CO2-eq</v>
      </c>
    </row>
    <row r="820" spans="2:8" ht="1.95" customHeight="1" x14ac:dyDescent="0.3">
      <c r="F820" s="59"/>
      <c r="G820" s="59"/>
      <c r="H820" s="59"/>
    </row>
    <row r="821" spans="2:8" ht="13.95" customHeight="1" x14ac:dyDescent="0.3">
      <c r="F821" s="80" t="s">
        <v>1106</v>
      </c>
      <c r="G821" s="89">
        <f>G811+G816</f>
        <v>42063.643077690002</v>
      </c>
      <c r="H821" s="68" t="str">
        <f xml:space="preserve"> H$710</f>
        <v>MJ-eq</v>
      </c>
    </row>
    <row r="822" spans="2:8" ht="13.95" customHeight="1" x14ac:dyDescent="0.3">
      <c r="F822" s="80" t="s">
        <v>1107</v>
      </c>
      <c r="G822" s="89">
        <f>G812+G817</f>
        <v>1556905.2209186452</v>
      </c>
      <c r="H822" s="68" t="str">
        <f xml:space="preserve"> H$711</f>
        <v>MJ-eq</v>
      </c>
    </row>
    <row r="823" spans="2:8" ht="13.95" customHeight="1" x14ac:dyDescent="0.3">
      <c r="F823" s="80" t="s">
        <v>1108</v>
      </c>
      <c r="G823" s="89">
        <f>G813+G818</f>
        <v>316.42717521999998</v>
      </c>
      <c r="H823" s="68" t="str">
        <f xml:space="preserve"> H$712</f>
        <v>m3</v>
      </c>
    </row>
    <row r="824" spans="2:8" ht="13.95" customHeight="1" x14ac:dyDescent="0.3">
      <c r="F824" s="80" t="s">
        <v>1109</v>
      </c>
      <c r="G824" s="89">
        <f>G814+G819</f>
        <v>100285.71267000001</v>
      </c>
      <c r="H824" s="68" t="str">
        <f xml:space="preserve"> H$713</f>
        <v>kg CO2-eq</v>
      </c>
    </row>
    <row r="825" spans="2:8" ht="13.95" customHeight="1" x14ac:dyDescent="0.3"/>
    <row r="826" spans="2:8" ht="13.95" customHeight="1" x14ac:dyDescent="0.3">
      <c r="B826" s="53" t="s">
        <v>496</v>
      </c>
    </row>
    <row r="827" spans="2:8" ht="13.95" customHeight="1" x14ac:dyDescent="0.3">
      <c r="C827" s="57" t="s">
        <v>699</v>
      </c>
    </row>
    <row r="828" spans="2:8" ht="13.95" customHeight="1" x14ac:dyDescent="0.3">
      <c r="F828" s="64" t="str">
        <f xml:space="preserve"> F$86</f>
        <v>% van papier van drukwerk dat gescheiden wordt ingezameld</v>
      </c>
      <c r="G828" s="65">
        <f xml:space="preserve"> G$86</f>
        <v>0.65</v>
      </c>
      <c r="H828" s="64" t="str">
        <f xml:space="preserve"> H$86</f>
        <v>%</v>
      </c>
    </row>
    <row r="829" spans="2:8" ht="13.95" customHeight="1" x14ac:dyDescent="0.3">
      <c r="F829" s="64" t="str">
        <f xml:space="preserve"> F$324</f>
        <v>Jaarlijks gewicht papier, virgin+recycled (kg)</v>
      </c>
      <c r="G829" s="67">
        <f xml:space="preserve"> G$324</f>
        <v>1167565.9632000001</v>
      </c>
      <c r="H829" s="64" t="str">
        <f xml:space="preserve"> H$324</f>
        <v>kg / jaar</v>
      </c>
    </row>
    <row r="830" spans="2:8" ht="1.95" customHeight="1" x14ac:dyDescent="0.3">
      <c r="G830" s="66"/>
      <c r="H830" s="64"/>
    </row>
    <row r="831" spans="2:8" ht="13.95" customHeight="1" x14ac:dyDescent="0.3">
      <c r="F831" t="s">
        <v>696</v>
      </c>
      <c r="G831" s="66">
        <f>G828*G829</f>
        <v>758917.87608000007</v>
      </c>
      <c r="H831" s="64" t="s">
        <v>698</v>
      </c>
    </row>
    <row r="832" spans="2:8" ht="13.95" customHeight="1" x14ac:dyDescent="0.3">
      <c r="F832" t="s">
        <v>697</v>
      </c>
      <c r="G832" s="66">
        <f>(1-G828)*G829</f>
        <v>408648.08712000004</v>
      </c>
      <c r="H832" t="s">
        <v>698</v>
      </c>
    </row>
    <row r="833" spans="6:10" ht="13.95" customHeight="1" x14ac:dyDescent="0.3">
      <c r="J833" s="66"/>
    </row>
    <row r="834" spans="6:10" ht="13.95" customHeight="1" x14ac:dyDescent="0.3">
      <c r="F834" s="46" t="str">
        <f xml:space="preserve"> Inputs!E$264</f>
        <v>Uitval per recycleronde papier</v>
      </c>
      <c r="G834" s="47">
        <f xml:space="preserve"> Inputs!F$264</f>
        <v>0.05</v>
      </c>
      <c r="H834" s="46" t="str">
        <f xml:space="preserve"> Inputs!G$264</f>
        <v>%</v>
      </c>
    </row>
    <row r="835" spans="6:10" ht="13.95" customHeight="1" x14ac:dyDescent="0.3">
      <c r="F835" t="s">
        <v>1042</v>
      </c>
      <c r="G835" s="66">
        <f>G831-(G831*G834)</f>
        <v>720971.98227600008</v>
      </c>
      <c r="H835" t="s">
        <v>456</v>
      </c>
    </row>
    <row r="836" spans="6:10" ht="13.95" customHeight="1" x14ac:dyDescent="0.3">
      <c r="F836" t="s">
        <v>1043</v>
      </c>
      <c r="G836" s="66">
        <f>G832+(G834*G831)</f>
        <v>446593.98092400003</v>
      </c>
      <c r="H836" t="s">
        <v>456</v>
      </c>
      <c r="J836" s="66"/>
    </row>
    <row r="837" spans="6:10" ht="13.95" customHeight="1" x14ac:dyDescent="0.3">
      <c r="G837" s="66"/>
    </row>
    <row r="838" spans="6:10" ht="13.95" customHeight="1" x14ac:dyDescent="0.3"/>
    <row r="839" spans="6:10" ht="13.95" customHeight="1" x14ac:dyDescent="0.3">
      <c r="F839" s="64" t="str">
        <f xml:space="preserve"> F$87</f>
        <v>% van plastic van drukwerk dat gescheiden wordt ingezameld</v>
      </c>
      <c r="G839" s="65">
        <f xml:space="preserve"> G$87</f>
        <v>0.6</v>
      </c>
      <c r="H839" s="64" t="str">
        <f xml:space="preserve"> H$87</f>
        <v>%</v>
      </c>
    </row>
    <row r="840" spans="6:10" ht="13.95" customHeight="1" x14ac:dyDescent="0.3">
      <c r="F840" s="64" t="str">
        <f xml:space="preserve"> F$325</f>
        <v>Jaarlijks gewicht plastic, virgin+recycled (kg)</v>
      </c>
      <c r="G840" s="67">
        <f xml:space="preserve"> G$325</f>
        <v>2968.16</v>
      </c>
      <c r="H840" s="64" t="str">
        <f xml:space="preserve"> H$325</f>
        <v>kg / jaar</v>
      </c>
    </row>
    <row r="841" spans="6:10" ht="1.95" customHeight="1" x14ac:dyDescent="0.3">
      <c r="G841" s="66"/>
      <c r="H841" s="64"/>
    </row>
    <row r="842" spans="6:10" ht="13.95" customHeight="1" x14ac:dyDescent="0.3">
      <c r="F842" t="s">
        <v>700</v>
      </c>
      <c r="G842" s="66">
        <f>G839*G840</f>
        <v>1780.896</v>
      </c>
      <c r="H842" s="64" t="s">
        <v>698</v>
      </c>
    </row>
    <row r="843" spans="6:10" ht="13.95" customHeight="1" x14ac:dyDescent="0.3">
      <c r="F843" t="s">
        <v>701</v>
      </c>
      <c r="G843" s="66">
        <f>(1-G839)*G840</f>
        <v>1187.2639999999999</v>
      </c>
      <c r="H843" t="s">
        <v>698</v>
      </c>
    </row>
    <row r="844" spans="6:10" ht="13.95" customHeight="1" x14ac:dyDescent="0.3"/>
    <row r="845" spans="6:10" ht="13.95" customHeight="1" x14ac:dyDescent="0.3">
      <c r="F845" s="46" t="str">
        <f xml:space="preserve"> Inputs!E$265</f>
        <v>Percentage ingezameld folie dat alsnog wordt verbrand</v>
      </c>
      <c r="G845" s="48">
        <f xml:space="preserve"> Inputs!F$265</f>
        <v>0.05</v>
      </c>
      <c r="H845" s="46" t="str">
        <f xml:space="preserve"> Inputs!G$265</f>
        <v>%</v>
      </c>
    </row>
    <row r="846" spans="6:10" ht="13.95" customHeight="1" x14ac:dyDescent="0.3">
      <c r="F846" t="s">
        <v>1044</v>
      </c>
      <c r="G846" s="66">
        <f>G842-(G842*G845)</f>
        <v>1691.8512000000001</v>
      </c>
      <c r="H846" s="64" t="s">
        <v>698</v>
      </c>
      <c r="J846" s="43"/>
    </row>
    <row r="847" spans="6:10" ht="13.95" customHeight="1" x14ac:dyDescent="0.3">
      <c r="F847" t="s">
        <v>1045</v>
      </c>
      <c r="G847" s="66">
        <f>G843+(G845*G842)</f>
        <v>1276.3087999999998</v>
      </c>
      <c r="H847" t="s">
        <v>698</v>
      </c>
      <c r="J847" s="43"/>
    </row>
    <row r="848" spans="6:10" ht="13.95" customHeight="1" x14ac:dyDescent="0.3"/>
    <row r="849" spans="3:14" ht="13.95" customHeight="1" x14ac:dyDescent="0.3">
      <c r="C849" s="57" t="s">
        <v>703</v>
      </c>
    </row>
    <row r="850" spans="3:14" ht="13.95" customHeight="1" x14ac:dyDescent="0.3">
      <c r="D850" t="s">
        <v>1012</v>
      </c>
    </row>
    <row r="851" spans="3:14" ht="13.95" customHeight="1" x14ac:dyDescent="0.3">
      <c r="F851" s="86" t="str">
        <f xml:space="preserve"> Inputs!E$32</f>
        <v>Virgin bedrukt papier, hernieuwbare energie, biomassa</v>
      </c>
      <c r="G851" s="86">
        <f xml:space="preserve"> Inputs!F$32</f>
        <v>27.245000000000001</v>
      </c>
      <c r="H851" s="86" t="str">
        <f xml:space="preserve"> Inputs!G$32</f>
        <v>MJ-eq / kg</v>
      </c>
      <c r="I851" s="46"/>
      <c r="J851" s="43"/>
      <c r="K851" s="43"/>
      <c r="L851" s="43"/>
      <c r="M851" s="43"/>
      <c r="N851" s="43"/>
    </row>
    <row r="852" spans="3:14" ht="13.95" customHeight="1" x14ac:dyDescent="0.3">
      <c r="F852" s="86" t="str">
        <f xml:space="preserve"> Inputs!E$33</f>
        <v>Virgin bedrukt papier, hernieuwbare energie, geothermie</v>
      </c>
      <c r="G852" s="86">
        <f xml:space="preserve"> Inputs!F$33</f>
        <v>7.4050000000000005E-2</v>
      </c>
      <c r="H852" s="86" t="str">
        <f xml:space="preserve"> Inputs!G$33</f>
        <v>MJ-eq / kg</v>
      </c>
      <c r="I852" s="46"/>
      <c r="J852" s="43"/>
      <c r="K852" s="43"/>
      <c r="L852" s="43"/>
      <c r="M852" s="43"/>
      <c r="N852" s="43"/>
    </row>
    <row r="853" spans="3:14" ht="13.95" customHeight="1" x14ac:dyDescent="0.3">
      <c r="F853" s="86" t="str">
        <f xml:space="preserve"> Inputs!E$34</f>
        <v>Virgin bedrukt papier, hernieuwbare energie, zon</v>
      </c>
      <c r="G853" s="86">
        <f xml:space="preserve"> Inputs!F$34</f>
        <v>4.6504000000000001E-4</v>
      </c>
      <c r="H853" s="86" t="str">
        <f xml:space="preserve"> Inputs!G$34</f>
        <v>MJ-eq / kg</v>
      </c>
      <c r="I853" s="46"/>
      <c r="J853" s="43"/>
      <c r="K853" s="43"/>
      <c r="L853" s="43"/>
      <c r="M853" s="43"/>
      <c r="N853" s="43"/>
    </row>
    <row r="854" spans="3:14" ht="13.95" customHeight="1" x14ac:dyDescent="0.3">
      <c r="F854" s="86" t="str">
        <f xml:space="preserve"> Inputs!E$35</f>
        <v>Virgin bedrukt papier, hernieuwbare energie, water</v>
      </c>
      <c r="G854" s="86">
        <f xml:space="preserve"> Inputs!F$35</f>
        <v>2.1696</v>
      </c>
      <c r="H854" s="86" t="str">
        <f xml:space="preserve"> Inputs!G$35</f>
        <v>MJ-eq / kg</v>
      </c>
      <c r="I854" s="46"/>
      <c r="J854" s="43"/>
      <c r="K854" s="43"/>
      <c r="L854" s="43"/>
      <c r="M854" s="43"/>
      <c r="N854" s="43"/>
    </row>
    <row r="855" spans="3:14" ht="13.95" customHeight="1" x14ac:dyDescent="0.3">
      <c r="F855" s="86" t="str">
        <f xml:space="preserve"> Inputs!E$36</f>
        <v>Virgin bedrukt papier, hernieuwbare energie, wind</v>
      </c>
      <c r="G855" s="86">
        <f xml:space="preserve"> Inputs!F$36</f>
        <v>1.0834999999999999</v>
      </c>
      <c r="H855" s="86" t="str">
        <f xml:space="preserve"> Inputs!G$36</f>
        <v>MJ-eq / kg</v>
      </c>
      <c r="I855" s="46"/>
      <c r="J855" s="43"/>
      <c r="K855" s="43"/>
      <c r="L855" s="43"/>
      <c r="M855" s="43"/>
      <c r="N855" s="43"/>
    </row>
    <row r="856" spans="3:14" ht="1.95" customHeight="1" x14ac:dyDescent="0.3">
      <c r="F856" s="86">
        <f xml:space="preserve"> Inputs!E$37</f>
        <v>0</v>
      </c>
      <c r="G856" s="86">
        <f xml:space="preserve"> Inputs!F$37</f>
        <v>0</v>
      </c>
      <c r="H856" s="86">
        <f xml:space="preserve"> Inputs!G$37</f>
        <v>0</v>
      </c>
      <c r="I856" s="46"/>
      <c r="J856" s="43"/>
      <c r="K856" s="43"/>
      <c r="L856" s="43"/>
      <c r="M856" s="43"/>
      <c r="N856" s="43"/>
    </row>
    <row r="857" spans="3:14" ht="13.95" customHeight="1" x14ac:dyDescent="0.3">
      <c r="F857" s="86" t="str">
        <f xml:space="preserve"> Inputs!E$38</f>
        <v>Virgin bedrukt papier, niet-hernieuwbare energie, fossiel</v>
      </c>
      <c r="G857" s="86">
        <f xml:space="preserve"> Inputs!F$38</f>
        <v>17.510999999999999</v>
      </c>
      <c r="H857" s="86" t="str">
        <f xml:space="preserve"> Inputs!G$38</f>
        <v>MJ-eq / kg</v>
      </c>
      <c r="I857" s="46"/>
      <c r="J857" s="43"/>
      <c r="K857" s="43"/>
      <c r="L857" s="43"/>
      <c r="M857" s="43"/>
      <c r="N857" s="43"/>
    </row>
    <row r="858" spans="3:14" ht="13.95" customHeight="1" x14ac:dyDescent="0.3">
      <c r="F858" s="86" t="str">
        <f xml:space="preserve"> Inputs!E$39</f>
        <v>Virgin bedrukt papier, niet-hernieuwbare energie, nucleair</v>
      </c>
      <c r="G858" s="86">
        <f xml:space="preserve"> Inputs!F$39</f>
        <v>11.567</v>
      </c>
      <c r="H858" s="86" t="str">
        <f xml:space="preserve"> Inputs!G$39</f>
        <v>MJ-eq / kg</v>
      </c>
      <c r="I858" s="46"/>
      <c r="J858" s="43"/>
      <c r="K858" s="43"/>
      <c r="L858" s="43"/>
      <c r="M858" s="43"/>
      <c r="N858" s="43"/>
    </row>
    <row r="859" spans="3:14" ht="13.95" customHeight="1" x14ac:dyDescent="0.3">
      <c r="F859" s="86" t="str">
        <f xml:space="preserve"> Inputs!E$40</f>
        <v>Virgin bedrukt papier, niet-hernieuwbare energie, oerbos</v>
      </c>
      <c r="G859" s="86">
        <f xml:space="preserve"> Inputs!F$40</f>
        <v>3.0032000000000001E-3</v>
      </c>
      <c r="H859" s="86" t="str">
        <f xml:space="preserve"> Inputs!G$40</f>
        <v>MJ-eq / kg</v>
      </c>
      <c r="I859" s="46"/>
      <c r="J859" s="43"/>
      <c r="K859" s="43"/>
      <c r="L859" s="43"/>
      <c r="M859" s="43"/>
      <c r="N859" s="43"/>
    </row>
    <row r="860" spans="3:14" ht="1.95" customHeight="1" x14ac:dyDescent="0.3">
      <c r="F860" s="86">
        <f xml:space="preserve"> Inputs!E$41</f>
        <v>0</v>
      </c>
      <c r="G860" s="86">
        <f xml:space="preserve"> Inputs!F$41</f>
        <v>0</v>
      </c>
      <c r="H860" s="86">
        <f xml:space="preserve"> Inputs!G$41</f>
        <v>0</v>
      </c>
      <c r="I860" s="46"/>
      <c r="J860" s="43"/>
      <c r="K860" s="43"/>
      <c r="L860" s="43"/>
      <c r="M860" s="43"/>
      <c r="N860" s="43"/>
    </row>
    <row r="861" spans="3:14" ht="13.95" customHeight="1" x14ac:dyDescent="0.3">
      <c r="F861" s="86" t="str">
        <f xml:space="preserve"> Inputs!E$42</f>
        <v>Virgin bedrukt papier, water</v>
      </c>
      <c r="G861" s="86">
        <f xml:space="preserve"> Inputs!F$42</f>
        <v>2.6164E-2</v>
      </c>
      <c r="H861" s="86" t="str">
        <f xml:space="preserve"> Inputs!G$42</f>
        <v>m3 / kg</v>
      </c>
      <c r="I861" s="46"/>
      <c r="J861" s="43"/>
      <c r="K861" s="43"/>
      <c r="L861" s="43"/>
      <c r="M861" s="43"/>
      <c r="N861" s="43"/>
    </row>
    <row r="862" spans="3:14" ht="1.95" customHeight="1" x14ac:dyDescent="0.3">
      <c r="F862" s="86">
        <f xml:space="preserve"> Inputs!E$43</f>
        <v>0</v>
      </c>
      <c r="G862" s="86">
        <f xml:space="preserve"> Inputs!F$43</f>
        <v>0</v>
      </c>
      <c r="H862" s="86">
        <f xml:space="preserve"> Inputs!G$43</f>
        <v>0</v>
      </c>
      <c r="I862" s="46"/>
      <c r="J862" s="43"/>
      <c r="K862" s="43"/>
      <c r="L862" s="43"/>
      <c r="M862" s="43"/>
      <c r="N862" s="43"/>
    </row>
    <row r="863" spans="3:14" ht="13.95" customHeight="1" x14ac:dyDescent="0.3">
      <c r="F863" s="86" t="str">
        <f xml:space="preserve"> Inputs!E$44</f>
        <v>Virgin bedrukt papier, GWP100</v>
      </c>
      <c r="G863" s="86">
        <f xml:space="preserve"> Inputs!F$44</f>
        <v>1.3794999999999999</v>
      </c>
      <c r="H863" s="86" t="str">
        <f xml:space="preserve"> Inputs!G$44</f>
        <v>kg CO2-eq / kg</v>
      </c>
      <c r="I863" s="46"/>
      <c r="J863" s="43"/>
      <c r="K863" s="43"/>
      <c r="L863" s="43"/>
      <c r="M863" s="43"/>
      <c r="N863" s="43"/>
    </row>
    <row r="864" spans="3:14" ht="13.95" customHeight="1" x14ac:dyDescent="0.3">
      <c r="F864" s="86"/>
      <c r="G864" s="116"/>
      <c r="H864" s="86"/>
      <c r="J864" s="43"/>
      <c r="K864" s="43"/>
      <c r="L864" s="43"/>
      <c r="M864" s="43"/>
      <c r="N864" s="43"/>
    </row>
    <row r="865" spans="6:14" ht="13.95" customHeight="1" x14ac:dyDescent="0.3">
      <c r="F865" s="86" t="str">
        <f xml:space="preserve"> Inputs!E$47</f>
        <v>Recycled bedrukt papier per kg output (gerecycled papier), hernieuwbare energie, biomassa</v>
      </c>
      <c r="G865" s="86">
        <f xml:space="preserve"> Inputs!F$47</f>
        <v>11.555</v>
      </c>
      <c r="H865" s="86" t="str">
        <f xml:space="preserve"> Inputs!G$47</f>
        <v>MJ-eq / kg</v>
      </c>
      <c r="I865" s="46"/>
      <c r="J865" s="43"/>
      <c r="K865" s="43"/>
      <c r="L865" s="43"/>
      <c r="M865" s="43"/>
      <c r="N865" s="43"/>
    </row>
    <row r="866" spans="6:14" ht="13.95" customHeight="1" x14ac:dyDescent="0.3">
      <c r="F866" s="86" t="str">
        <f xml:space="preserve"> Inputs!E$48</f>
        <v>Recycled bedrukt papier per kg output (gerecycled papier), hernieuwbare energie, geothermie</v>
      </c>
      <c r="G866" s="86">
        <f xml:space="preserve"> Inputs!F$48</f>
        <v>4.3588000000000002E-2</v>
      </c>
      <c r="H866" s="86" t="str">
        <f xml:space="preserve"> Inputs!G$48</f>
        <v>MJ-eq / kg</v>
      </c>
      <c r="I866" s="46"/>
      <c r="J866" s="43"/>
      <c r="K866" s="43"/>
      <c r="L866" s="43"/>
      <c r="M866" s="43"/>
      <c r="N866" s="43"/>
    </row>
    <row r="867" spans="6:14" ht="13.95" customHeight="1" x14ac:dyDescent="0.3">
      <c r="F867" s="86" t="str">
        <f xml:space="preserve"> Inputs!E$49</f>
        <v>Recycled bedrukt papier per kg output (gerecycled papier), hernieuwbare energie, zon</v>
      </c>
      <c r="G867" s="86">
        <f xml:space="preserve"> Inputs!F$49</f>
        <v>2.9163000000000003E-4</v>
      </c>
      <c r="H867" s="86" t="str">
        <f xml:space="preserve"> Inputs!G$49</f>
        <v>MJ-eq / kg</v>
      </c>
      <c r="I867" s="46"/>
      <c r="J867" s="43"/>
      <c r="K867" s="43"/>
      <c r="L867" s="43"/>
      <c r="M867" s="43"/>
      <c r="N867" s="43"/>
    </row>
    <row r="868" spans="6:14" ht="13.95" customHeight="1" x14ac:dyDescent="0.3">
      <c r="F868" s="86" t="str">
        <f xml:space="preserve"> Inputs!E$50</f>
        <v>Recycled bedrukt papier per kg output (gerecycled papier), hernieuwbare energie, water</v>
      </c>
      <c r="G868" s="86">
        <f xml:space="preserve"> Inputs!F$50</f>
        <v>1.2242999999999999</v>
      </c>
      <c r="H868" s="86" t="str">
        <f xml:space="preserve"> Inputs!G$50</f>
        <v>MJ-eq / kg</v>
      </c>
      <c r="I868" s="46"/>
      <c r="J868" s="43"/>
      <c r="K868" s="43"/>
      <c r="L868" s="43"/>
      <c r="M868" s="43"/>
      <c r="N868" s="43"/>
    </row>
    <row r="869" spans="6:14" ht="13.95" customHeight="1" x14ac:dyDescent="0.3">
      <c r="F869" s="86" t="str">
        <f xml:space="preserve"> Inputs!E$51</f>
        <v>Recycled bedrukt papier per kg output (gerecycled papier), hernieuwbare energie, wind</v>
      </c>
      <c r="G869" s="86">
        <f xml:space="preserve"> Inputs!F$51</f>
        <v>0.63278999999999996</v>
      </c>
      <c r="H869" s="86" t="str">
        <f xml:space="preserve"> Inputs!G$51</f>
        <v>MJ-eq / kg</v>
      </c>
      <c r="I869" s="46"/>
      <c r="J869" s="43"/>
      <c r="K869" s="43"/>
      <c r="L869" s="43"/>
      <c r="M869" s="43"/>
      <c r="N869" s="43"/>
    </row>
    <row r="870" spans="6:14" ht="1.95" customHeight="1" x14ac:dyDescent="0.3">
      <c r="F870" s="86">
        <f xml:space="preserve"> Inputs!E$52</f>
        <v>0</v>
      </c>
      <c r="G870" s="86">
        <f xml:space="preserve"> Inputs!F$52</f>
        <v>0</v>
      </c>
      <c r="H870" s="86">
        <f xml:space="preserve"> Inputs!G$52</f>
        <v>0</v>
      </c>
      <c r="I870" s="46"/>
      <c r="J870" s="43"/>
      <c r="K870" s="43"/>
      <c r="L870" s="43"/>
      <c r="M870" s="43"/>
      <c r="N870" s="43"/>
    </row>
    <row r="871" spans="6:14" ht="13.95" customHeight="1" x14ac:dyDescent="0.3">
      <c r="F871" s="86" t="str">
        <f xml:space="preserve"> Inputs!E$53</f>
        <v>Recycled bedrukt papier per kg output (gerecycled papier), niet-hernieuwbare energie, fossiel</v>
      </c>
      <c r="G871" s="86">
        <f xml:space="preserve"> Inputs!F$53</f>
        <v>13.451000000000001</v>
      </c>
      <c r="H871" s="86" t="str">
        <f xml:space="preserve"> Inputs!G$53</f>
        <v>MJ-eq / kg</v>
      </c>
      <c r="I871" s="46"/>
      <c r="J871" s="43"/>
      <c r="K871" s="43"/>
      <c r="L871" s="43"/>
      <c r="M871" s="43"/>
      <c r="N871" s="43"/>
    </row>
    <row r="872" spans="6:14" ht="13.95" customHeight="1" x14ac:dyDescent="0.3">
      <c r="F872" s="86" t="str">
        <f xml:space="preserve"> Inputs!E$54</f>
        <v>Recycled bedrukt papier per kg output (gerecycled papier), niet-hernieuwbare energie, nucleair</v>
      </c>
      <c r="G872" s="86">
        <f xml:space="preserve"> Inputs!F$54</f>
        <v>6.6791</v>
      </c>
      <c r="H872" s="86" t="str">
        <f xml:space="preserve"> Inputs!G$54</f>
        <v>MJ-eq / kg</v>
      </c>
      <c r="I872" s="46"/>
      <c r="J872" s="43"/>
      <c r="K872" s="43"/>
      <c r="L872" s="43"/>
      <c r="M872" s="43"/>
      <c r="N872" s="43"/>
    </row>
    <row r="873" spans="6:14" ht="13.95" customHeight="1" x14ac:dyDescent="0.3">
      <c r="F873" s="86" t="str">
        <f xml:space="preserve"> Inputs!E$55</f>
        <v>Recycled bedrukt papier per kg output (gerecycled papier), niet-hernieuwbare energie, oerbos</v>
      </c>
      <c r="G873" s="86">
        <f xml:space="preserve"> Inputs!F$55</f>
        <v>1.796E-2</v>
      </c>
      <c r="H873" s="86" t="str">
        <f xml:space="preserve"> Inputs!G$55</f>
        <v>MJ-eq / kg</v>
      </c>
      <c r="I873" s="46"/>
      <c r="J873" s="43"/>
      <c r="K873" s="43"/>
      <c r="L873" s="43"/>
      <c r="M873" s="43"/>
      <c r="N873" s="43"/>
    </row>
    <row r="874" spans="6:14" ht="1.95" customHeight="1" x14ac:dyDescent="0.3">
      <c r="F874" s="86">
        <f xml:space="preserve"> Inputs!E$56</f>
        <v>0</v>
      </c>
      <c r="G874" s="86">
        <f xml:space="preserve"> Inputs!F$56</f>
        <v>0</v>
      </c>
      <c r="H874" s="86">
        <f xml:space="preserve"> Inputs!G$56</f>
        <v>0</v>
      </c>
      <c r="I874" s="46"/>
      <c r="J874" s="43"/>
      <c r="K874" s="43"/>
      <c r="L874" s="43"/>
      <c r="M874" s="43"/>
      <c r="N874" s="43"/>
    </row>
    <row r="875" spans="6:14" ht="13.95" customHeight="1" x14ac:dyDescent="0.3">
      <c r="F875" s="86" t="str">
        <f xml:space="preserve"> Inputs!E$57</f>
        <v>Recycled bedrukt papier per kg output (gerecycled papier), water</v>
      </c>
      <c r="G875" s="86">
        <f xml:space="preserve"> Inputs!F$57</f>
        <v>2.1631999999999998E-2</v>
      </c>
      <c r="H875" s="86" t="str">
        <f xml:space="preserve"> Inputs!G$57</f>
        <v>m3 / kg</v>
      </c>
      <c r="I875" s="46"/>
      <c r="J875" s="43"/>
      <c r="K875" s="43"/>
      <c r="L875" s="43"/>
      <c r="M875" s="43"/>
      <c r="N875" s="43"/>
    </row>
    <row r="876" spans="6:14" ht="1.95" customHeight="1" x14ac:dyDescent="0.3">
      <c r="F876" s="86">
        <f xml:space="preserve"> Inputs!E$58</f>
        <v>0</v>
      </c>
      <c r="G876" s="86">
        <f xml:space="preserve"> Inputs!F$58</f>
        <v>0</v>
      </c>
      <c r="H876" s="86">
        <f xml:space="preserve"> Inputs!G$58</f>
        <v>0</v>
      </c>
      <c r="I876" s="46"/>
      <c r="J876" s="43"/>
      <c r="K876" s="43"/>
      <c r="L876" s="43"/>
      <c r="M876" s="43"/>
      <c r="N876" s="43"/>
    </row>
    <row r="877" spans="6:14" ht="13.95" customHeight="1" x14ac:dyDescent="0.3">
      <c r="F877" s="86" t="str">
        <f xml:space="preserve"> Inputs!E$59</f>
        <v>Recycled bedrukt papier per kg output (gerecycled papier), GWP100</v>
      </c>
      <c r="G877" s="86">
        <f xml:space="preserve"> Inputs!F$59</f>
        <v>1.1591</v>
      </c>
      <c r="H877" s="86" t="str">
        <f xml:space="preserve"> Inputs!G$59</f>
        <v>kg CO2-eq / kg</v>
      </c>
      <c r="I877" s="46"/>
      <c r="J877" s="43"/>
      <c r="K877" s="43"/>
      <c r="L877" s="43"/>
      <c r="M877" s="43"/>
      <c r="N877" s="43"/>
    </row>
    <row r="878" spans="6:14" ht="13.95" customHeight="1" x14ac:dyDescent="0.3">
      <c r="J878" s="43"/>
      <c r="K878" s="43"/>
      <c r="L878" s="43"/>
      <c r="M878" s="43"/>
      <c r="N878" s="43"/>
    </row>
    <row r="879" spans="6:14" ht="13.95" customHeight="1" x14ac:dyDescent="0.3">
      <c r="F879" s="111" t="s">
        <v>994</v>
      </c>
      <c r="G879" s="115">
        <f>G865-G851</f>
        <v>-15.690000000000001</v>
      </c>
      <c r="H879" t="s">
        <v>473</v>
      </c>
    </row>
    <row r="880" spans="6:14" ht="13.95" customHeight="1" x14ac:dyDescent="0.3">
      <c r="F880" s="111" t="s">
        <v>995</v>
      </c>
      <c r="G880" s="115">
        <f>G866-G852</f>
        <v>-3.0462000000000003E-2</v>
      </c>
      <c r="H880" t="s">
        <v>473</v>
      </c>
    </row>
    <row r="881" spans="6:8" ht="13.95" customHeight="1" x14ac:dyDescent="0.3">
      <c r="F881" s="111" t="s">
        <v>996</v>
      </c>
      <c r="G881" s="115">
        <f>G867-G853</f>
        <v>-1.7340999999999998E-4</v>
      </c>
      <c r="H881" t="s">
        <v>473</v>
      </c>
    </row>
    <row r="882" spans="6:8" ht="13.95" customHeight="1" x14ac:dyDescent="0.3">
      <c r="F882" s="111" t="s">
        <v>997</v>
      </c>
      <c r="G882" s="115">
        <f>G868-G854</f>
        <v>-0.94530000000000003</v>
      </c>
      <c r="H882" t="s">
        <v>473</v>
      </c>
    </row>
    <row r="883" spans="6:8" ht="13.95" customHeight="1" x14ac:dyDescent="0.3">
      <c r="F883" s="111" t="s">
        <v>998</v>
      </c>
      <c r="G883" s="115">
        <f>G869-G855</f>
        <v>-0.45070999999999994</v>
      </c>
      <c r="H883" t="s">
        <v>473</v>
      </c>
    </row>
    <row r="884" spans="6:8" ht="1.95" customHeight="1" x14ac:dyDescent="0.3">
      <c r="F884" s="111"/>
      <c r="G884" s="115"/>
    </row>
    <row r="885" spans="6:8" ht="13.95" customHeight="1" x14ac:dyDescent="0.3">
      <c r="F885" s="111" t="s">
        <v>999</v>
      </c>
      <c r="G885" s="115">
        <f>G871-G857</f>
        <v>-4.0599999999999987</v>
      </c>
      <c r="H885" t="s">
        <v>473</v>
      </c>
    </row>
    <row r="886" spans="6:8" ht="13.95" customHeight="1" x14ac:dyDescent="0.3">
      <c r="F886" s="111" t="s">
        <v>1000</v>
      </c>
      <c r="G886" s="115">
        <f>G872-G858</f>
        <v>-4.8879000000000001</v>
      </c>
      <c r="H886" t="s">
        <v>473</v>
      </c>
    </row>
    <row r="887" spans="6:8" ht="13.95" customHeight="1" x14ac:dyDescent="0.3">
      <c r="F887" s="111" t="s">
        <v>1001</v>
      </c>
      <c r="G887" s="115">
        <f>G873-G859</f>
        <v>1.4956799999999999E-2</v>
      </c>
      <c r="H887" t="s">
        <v>473</v>
      </c>
    </row>
    <row r="888" spans="6:8" ht="1.95" customHeight="1" x14ac:dyDescent="0.3">
      <c r="F888" s="111"/>
      <c r="G888" s="115"/>
    </row>
    <row r="889" spans="6:8" ht="13.95" customHeight="1" x14ac:dyDescent="0.3">
      <c r="F889" s="111" t="s">
        <v>1002</v>
      </c>
      <c r="G889" s="115">
        <f>G875-G861</f>
        <v>-4.5320000000000013E-3</v>
      </c>
      <c r="H889" t="s">
        <v>474</v>
      </c>
    </row>
    <row r="890" spans="6:8" ht="1.95" customHeight="1" x14ac:dyDescent="0.3">
      <c r="F890" s="111"/>
      <c r="G890" s="115"/>
    </row>
    <row r="891" spans="6:8" ht="13.95" customHeight="1" x14ac:dyDescent="0.3">
      <c r="F891" s="111" t="s">
        <v>1003</v>
      </c>
      <c r="G891" s="115">
        <f>G877-G863</f>
        <v>-0.22039999999999993</v>
      </c>
      <c r="H891" t="s">
        <v>475</v>
      </c>
    </row>
    <row r="892" spans="6:8" ht="13.95" customHeight="1" x14ac:dyDescent="0.3"/>
    <row r="893" spans="6:8" ht="13.95" customHeight="1" x14ac:dyDescent="0.3">
      <c r="F893" s="68" t="s">
        <v>1004</v>
      </c>
      <c r="G893" s="75">
        <f>SUM(G879:G883)</f>
        <v>-17.116645410000004</v>
      </c>
      <c r="H893" s="68" t="s">
        <v>473</v>
      </c>
    </row>
    <row r="894" spans="6:8" ht="13.95" customHeight="1" x14ac:dyDescent="0.3">
      <c r="F894" s="68" t="s">
        <v>1005</v>
      </c>
      <c r="G894" s="75">
        <f>SUM(G885:G887)</f>
        <v>-8.9329431999999986</v>
      </c>
      <c r="H894" s="68" t="s">
        <v>473</v>
      </c>
    </row>
    <row r="895" spans="6:8" ht="13.95" customHeight="1" x14ac:dyDescent="0.3">
      <c r="F895" s="68" t="s">
        <v>1006</v>
      </c>
      <c r="G895" s="75">
        <f>G889</f>
        <v>-4.5320000000000013E-3</v>
      </c>
      <c r="H895" s="68" t="s">
        <v>474</v>
      </c>
    </row>
    <row r="896" spans="6:8" ht="13.95" customHeight="1" x14ac:dyDescent="0.3">
      <c r="F896" s="68" t="s">
        <v>1007</v>
      </c>
      <c r="G896" s="75">
        <f>G891</f>
        <v>-0.22039999999999993</v>
      </c>
      <c r="H896" s="68" t="s">
        <v>475</v>
      </c>
    </row>
    <row r="897" spans="4:8" ht="1.95" customHeight="1" x14ac:dyDescent="0.3">
      <c r="F897" s="59"/>
      <c r="G897" s="59"/>
      <c r="H897" s="59"/>
    </row>
    <row r="898" spans="4:8" ht="13.95" customHeight="1" x14ac:dyDescent="0.3">
      <c r="F898" s="64" t="str">
        <f xml:space="preserve"> F$835</f>
        <v>Overgebleven gewicht recycled, na uitval, papier</v>
      </c>
      <c r="G898" s="67">
        <f xml:space="preserve"> G$835</f>
        <v>720971.98227600008</v>
      </c>
      <c r="H898" s="64" t="str">
        <f xml:space="preserve"> H$835</f>
        <v>kg / jaar</v>
      </c>
    </row>
    <row r="899" spans="4:8" ht="1.95" customHeight="1" x14ac:dyDescent="0.3">
      <c r="F899" s="59"/>
      <c r="G899" s="59"/>
      <c r="H899" s="59"/>
    </row>
    <row r="900" spans="4:8" ht="13.95" customHeight="1" x14ac:dyDescent="0.3">
      <c r="F900" s="68" t="s">
        <v>1008</v>
      </c>
      <c r="G900" s="73">
        <f>G893*$G$898</f>
        <v>-12340621.7711631</v>
      </c>
      <c r="H900" s="68" t="str">
        <f xml:space="preserve"> H$710</f>
        <v>MJ-eq</v>
      </c>
    </row>
    <row r="901" spans="4:8" ht="13.95" customHeight="1" x14ac:dyDescent="0.3">
      <c r="F901" s="68" t="s">
        <v>1009</v>
      </c>
      <c r="G901" s="73">
        <f t="shared" ref="G901:G903" si="22">G894*$G$898</f>
        <v>-6440401.7664629146</v>
      </c>
      <c r="H901" s="68" t="str">
        <f xml:space="preserve"> H$711</f>
        <v>MJ-eq</v>
      </c>
    </row>
    <row r="902" spans="4:8" ht="13.95" customHeight="1" x14ac:dyDescent="0.3">
      <c r="F902" s="68" t="s">
        <v>1010</v>
      </c>
      <c r="G902" s="73">
        <f t="shared" si="22"/>
        <v>-3267.4450236748335</v>
      </c>
      <c r="H902" s="68" t="str">
        <f xml:space="preserve"> H$712</f>
        <v>m3</v>
      </c>
    </row>
    <row r="903" spans="4:8" ht="13.95" customHeight="1" x14ac:dyDescent="0.3">
      <c r="F903" s="68" t="s">
        <v>1011</v>
      </c>
      <c r="G903" s="73">
        <f t="shared" si="22"/>
        <v>-158902.22489363037</v>
      </c>
      <c r="H903" s="68" t="str">
        <f xml:space="preserve"> H$713</f>
        <v>kg CO2-eq</v>
      </c>
    </row>
    <row r="904" spans="4:8" ht="13.95" customHeight="1" x14ac:dyDescent="0.3"/>
    <row r="905" spans="4:8" ht="13.95" customHeight="1" x14ac:dyDescent="0.3">
      <c r="D905" s="80" t="s">
        <v>1013</v>
      </c>
      <c r="E905" s="118"/>
      <c r="F905" s="59"/>
      <c r="G905" s="59"/>
      <c r="H905" s="59"/>
    </row>
    <row r="906" spans="4:8" ht="13.95" customHeight="1" x14ac:dyDescent="0.3">
      <c r="D906" s="59"/>
      <c r="E906" s="119" t="s">
        <v>728</v>
      </c>
      <c r="F906" s="59"/>
      <c r="G906" s="59"/>
      <c r="H906" s="59"/>
    </row>
    <row r="907" spans="4:8" ht="13.95" customHeight="1" x14ac:dyDescent="0.3">
      <c r="D907" s="59"/>
      <c r="E907" s="118"/>
      <c r="F907" s="46" t="str">
        <f xml:space="preserve"> Inputs!E$314</f>
        <v>Verbranding, grafisch papier, hernieuwbare energie, biomassa</v>
      </c>
      <c r="G907" s="46">
        <f xml:space="preserve"> Inputs!F$314</f>
        <v>2.6280000000000001E-3</v>
      </c>
      <c r="H907" s="46" t="str">
        <f xml:space="preserve"> Inputs!G$314</f>
        <v>MJ-eq / kg</v>
      </c>
    </row>
    <row r="908" spans="4:8" ht="13.95" customHeight="1" x14ac:dyDescent="0.3">
      <c r="D908" s="59"/>
      <c r="E908" s="118"/>
      <c r="F908" s="46" t="str">
        <f xml:space="preserve"> Inputs!E$315</f>
        <v>Verbranding, grafisch papier, hernieuwbare energie, geothermie</v>
      </c>
      <c r="G908" s="46">
        <f xml:space="preserve"> Inputs!F$315</f>
        <v>9.1598E-5</v>
      </c>
      <c r="H908" s="46" t="str">
        <f xml:space="preserve"> Inputs!G$315</f>
        <v>MJ-eq / kg</v>
      </c>
    </row>
    <row r="909" spans="4:8" ht="13.95" customHeight="1" x14ac:dyDescent="0.3">
      <c r="D909" s="59"/>
      <c r="E909" s="118"/>
      <c r="F909" s="46" t="str">
        <f xml:space="preserve"> Inputs!E$316</f>
        <v>Verbranding, grafisch papier, hernieuwbare energie, zon</v>
      </c>
      <c r="G909" s="46">
        <f xml:space="preserve"> Inputs!F$316</f>
        <v>1.2632E-5</v>
      </c>
      <c r="H909" s="46" t="str">
        <f xml:space="preserve"> Inputs!G$316</f>
        <v>MJ-eq / kg</v>
      </c>
    </row>
    <row r="910" spans="4:8" ht="13.95" customHeight="1" x14ac:dyDescent="0.3">
      <c r="D910" s="59"/>
      <c r="E910" s="118"/>
      <c r="F910" s="46" t="str">
        <f xml:space="preserve"> Inputs!E$317</f>
        <v>Verbranding, grafisch papier, hernieuwbare energie, water</v>
      </c>
      <c r="G910" s="46">
        <f xml:space="preserve"> Inputs!F$317</f>
        <v>5.2865999999999998E-3</v>
      </c>
      <c r="H910" s="46" t="str">
        <f xml:space="preserve"> Inputs!G$317</f>
        <v>MJ-eq / kg</v>
      </c>
    </row>
    <row r="911" spans="4:8" ht="13.95" customHeight="1" x14ac:dyDescent="0.3">
      <c r="D911" s="59"/>
      <c r="E911" s="118"/>
      <c r="F911" s="46" t="str">
        <f xml:space="preserve"> Inputs!E$318</f>
        <v>Verbranding, grafisch papier, hernieuwbare energie, wind</v>
      </c>
      <c r="G911" s="46">
        <f xml:space="preserve"> Inputs!F$318</f>
        <v>9.1022E-4</v>
      </c>
      <c r="H911" s="46" t="str">
        <f xml:space="preserve"> Inputs!G$318</f>
        <v>MJ-eq / kg</v>
      </c>
    </row>
    <row r="912" spans="4:8" ht="1.95" customHeight="1" x14ac:dyDescent="0.3">
      <c r="D912" s="59"/>
      <c r="E912" s="118"/>
      <c r="F912" s="46"/>
      <c r="G912" s="46"/>
      <c r="H912" s="46"/>
    </row>
    <row r="913" spans="4:8" ht="13.95" customHeight="1" x14ac:dyDescent="0.3">
      <c r="D913" s="59"/>
      <c r="E913" s="118"/>
      <c r="F913" s="46" t="str">
        <f xml:space="preserve"> Inputs!E$320</f>
        <v>Verbranding, grafisch papier, niet-hernieuwbare energie, fossiel</v>
      </c>
      <c r="G913" s="46">
        <f xml:space="preserve"> Inputs!F$320</f>
        <v>0.21035000000000001</v>
      </c>
      <c r="H913" s="46" t="str">
        <f xml:space="preserve"> Inputs!G$320</f>
        <v>MJ-eq / kg</v>
      </c>
    </row>
    <row r="914" spans="4:8" ht="13.95" customHeight="1" x14ac:dyDescent="0.3">
      <c r="D914" s="59"/>
      <c r="E914" s="118"/>
      <c r="F914" s="46" t="str">
        <f xml:space="preserve"> Inputs!E$321</f>
        <v>Verbranding, grafisch papier, niet-hernieuwbare energie, nucleair</v>
      </c>
      <c r="G914" s="46">
        <f xml:space="preserve"> Inputs!F$321</f>
        <v>1.1459E-2</v>
      </c>
      <c r="H914" s="46" t="str">
        <f xml:space="preserve"> Inputs!G$321</f>
        <v>MJ-eq / kg</v>
      </c>
    </row>
    <row r="915" spans="4:8" ht="13.95" customHeight="1" x14ac:dyDescent="0.3">
      <c r="D915" s="59"/>
      <c r="E915" s="118"/>
      <c r="F915" s="46" t="str">
        <f xml:space="preserve"> Inputs!E$322</f>
        <v>Verbranding, grafisch papier, niet-hernieuwbare energie, oerbos</v>
      </c>
      <c r="G915" s="46">
        <f xml:space="preserve"> Inputs!F$322</f>
        <v>1.0739E-5</v>
      </c>
      <c r="H915" s="46" t="str">
        <f xml:space="preserve"> Inputs!G$322</f>
        <v>MJ-eq / kg</v>
      </c>
    </row>
    <row r="916" spans="4:8" ht="1.95" customHeight="1" x14ac:dyDescent="0.3">
      <c r="D916" s="59"/>
      <c r="E916" s="118"/>
      <c r="F916" s="86"/>
      <c r="G916" s="46"/>
      <c r="H916" s="46"/>
    </row>
    <row r="917" spans="4:8" ht="13.95" customHeight="1" x14ac:dyDescent="0.3">
      <c r="D917" s="59"/>
      <c r="E917" s="118"/>
      <c r="F917" s="46" t="str">
        <f xml:space="preserve"> Inputs!E$324</f>
        <v>Verbranding, grafisch papier, water</v>
      </c>
      <c r="G917" s="46">
        <f xml:space="preserve"> Inputs!F$324</f>
        <v>6.7628000000000002E-4</v>
      </c>
      <c r="H917" s="46" t="str">
        <f xml:space="preserve"> Inputs!G$324</f>
        <v>m3 / kg</v>
      </c>
    </row>
    <row r="918" spans="4:8" ht="1.95" customHeight="1" x14ac:dyDescent="0.3">
      <c r="D918" s="59"/>
      <c r="E918" s="118"/>
      <c r="F918" s="86"/>
      <c r="G918" s="46"/>
      <c r="H918" s="46"/>
    </row>
    <row r="919" spans="4:8" ht="13.95" customHeight="1" x14ac:dyDescent="0.3">
      <c r="D919" s="59"/>
      <c r="E919" s="118"/>
      <c r="F919" s="46" t="str">
        <f xml:space="preserve"> Inputs!E$326</f>
        <v>Verbranding, grafisch papier, GWP100</v>
      </c>
      <c r="G919" s="46">
        <f xml:space="preserve"> Inputs!F$326</f>
        <v>3.1708E-2</v>
      </c>
      <c r="H919" s="46" t="str">
        <f xml:space="preserve"> Inputs!G$326</f>
        <v>kg CO2-eq / kg</v>
      </c>
    </row>
    <row r="920" spans="4:8" ht="13.95" customHeight="1" x14ac:dyDescent="0.3">
      <c r="D920" s="59"/>
      <c r="E920" s="118"/>
      <c r="F920" s="59"/>
      <c r="G920" s="59"/>
      <c r="H920" s="59"/>
    </row>
    <row r="921" spans="4:8" ht="13.95" customHeight="1" x14ac:dyDescent="0.3">
      <c r="D921" s="59"/>
      <c r="E921" s="118"/>
      <c r="F921" s="68" t="s">
        <v>1015</v>
      </c>
      <c r="G921" s="75">
        <f>SUM(G907:G911)</f>
        <v>8.9290499999999991E-3</v>
      </c>
      <c r="H921" s="68" t="s">
        <v>473</v>
      </c>
    </row>
    <row r="922" spans="4:8" ht="13.95" customHeight="1" x14ac:dyDescent="0.3">
      <c r="D922" s="59"/>
      <c r="E922" s="118"/>
      <c r="F922" s="68" t="s">
        <v>1016</v>
      </c>
      <c r="G922" s="75">
        <f>SUM(G913:G915)</f>
        <v>0.22181973900000002</v>
      </c>
      <c r="H922" s="68" t="s">
        <v>473</v>
      </c>
    </row>
    <row r="923" spans="4:8" ht="13.95" customHeight="1" x14ac:dyDescent="0.3">
      <c r="D923" s="59"/>
      <c r="E923" s="118"/>
      <c r="F923" s="68" t="s">
        <v>1017</v>
      </c>
      <c r="G923" s="75">
        <f>G917</f>
        <v>6.7628000000000002E-4</v>
      </c>
      <c r="H923" s="68" t="s">
        <v>474</v>
      </c>
    </row>
    <row r="924" spans="4:8" ht="13.95" customHeight="1" x14ac:dyDescent="0.3">
      <c r="D924" s="59"/>
      <c r="E924" s="118"/>
      <c r="F924" s="68" t="s">
        <v>1018</v>
      </c>
      <c r="G924" s="75">
        <f>G919</f>
        <v>3.1708E-2</v>
      </c>
      <c r="H924" s="68" t="s">
        <v>475</v>
      </c>
    </row>
    <row r="925" spans="4:8" ht="1.95" customHeight="1" x14ac:dyDescent="0.3">
      <c r="D925" s="59"/>
      <c r="E925" s="118"/>
      <c r="F925" s="59"/>
      <c r="G925" s="59"/>
      <c r="H925" s="59"/>
    </row>
    <row r="926" spans="4:8" ht="13.95" customHeight="1" x14ac:dyDescent="0.3">
      <c r="D926" s="59"/>
      <c r="E926" s="118"/>
      <c r="F926" s="64" t="str">
        <f xml:space="preserve"> F$836</f>
        <v>Totaalgewicht restafval, incl. uitval, papier</v>
      </c>
      <c r="G926" s="67">
        <f xml:space="preserve"> G$836</f>
        <v>446593.98092400003</v>
      </c>
      <c r="H926" s="64" t="str">
        <f xml:space="preserve"> H$836</f>
        <v>kg / jaar</v>
      </c>
    </row>
    <row r="927" spans="4:8" ht="1.95" customHeight="1" x14ac:dyDescent="0.3">
      <c r="D927" s="59"/>
      <c r="E927" s="118"/>
      <c r="F927" s="59"/>
      <c r="G927" s="59"/>
      <c r="H927" s="59"/>
    </row>
    <row r="928" spans="4:8" ht="13.95" customHeight="1" x14ac:dyDescent="0.3">
      <c r="D928" s="59"/>
      <c r="E928" s="118"/>
      <c r="F928" s="68" t="s">
        <v>1019</v>
      </c>
      <c r="G928" s="73">
        <f>G921*$G$926</f>
        <v>3987.659985369442</v>
      </c>
      <c r="H928" s="68" t="str">
        <f xml:space="preserve"> H$710</f>
        <v>MJ-eq</v>
      </c>
    </row>
    <row r="929" spans="4:8" ht="13.95" customHeight="1" x14ac:dyDescent="0.3">
      <c r="D929" s="59"/>
      <c r="E929" s="118"/>
      <c r="F929" s="68" t="s">
        <v>1020</v>
      </c>
      <c r="G929" s="73">
        <f t="shared" ref="G929:G931" si="23">G922*$G$926</f>
        <v>99063.360287532676</v>
      </c>
      <c r="H929" s="68" t="str">
        <f xml:space="preserve"> H$711</f>
        <v>MJ-eq</v>
      </c>
    </row>
    <row r="930" spans="4:8" ht="13.95" customHeight="1" x14ac:dyDescent="0.3">
      <c r="D930" s="59"/>
      <c r="E930" s="118"/>
      <c r="F930" s="68" t="s">
        <v>1021</v>
      </c>
      <c r="G930" s="73">
        <f t="shared" si="23"/>
        <v>302.02257741928275</v>
      </c>
      <c r="H930" s="68" t="str">
        <f xml:space="preserve"> H$712</f>
        <v>m3</v>
      </c>
    </row>
    <row r="931" spans="4:8" ht="13.95" customHeight="1" x14ac:dyDescent="0.3">
      <c r="D931" s="59"/>
      <c r="E931" s="118"/>
      <c r="F931" s="68" t="s">
        <v>1022</v>
      </c>
      <c r="G931" s="73">
        <f t="shared" si="23"/>
        <v>14160.601947138193</v>
      </c>
      <c r="H931" s="68" t="str">
        <f xml:space="preserve"> H$713</f>
        <v>kg CO2-eq</v>
      </c>
    </row>
    <row r="932" spans="4:8" ht="13.95" customHeight="1" x14ac:dyDescent="0.3">
      <c r="D932" s="59"/>
      <c r="E932" s="118"/>
      <c r="F932" s="59"/>
      <c r="G932" s="59"/>
      <c r="H932" s="59"/>
    </row>
    <row r="933" spans="4:8" ht="13.95" customHeight="1" x14ac:dyDescent="0.3">
      <c r="D933" s="59"/>
      <c r="E933" s="119" t="s">
        <v>729</v>
      </c>
      <c r="F933" s="59"/>
      <c r="G933" s="59"/>
      <c r="H933" s="59"/>
    </row>
    <row r="934" spans="4:8" ht="13.95" customHeight="1" x14ac:dyDescent="0.3">
      <c r="D934" s="59"/>
      <c r="E934" s="118"/>
      <c r="F934" s="64" t="str">
        <f xml:space="preserve"> F$836</f>
        <v>Totaalgewicht restafval, incl. uitval, papier</v>
      </c>
      <c r="G934" s="127">
        <f xml:space="preserve"> G$836</f>
        <v>446593.98092400003</v>
      </c>
      <c r="H934" s="64" t="str">
        <f xml:space="preserve"> H$836</f>
        <v>kg / jaar</v>
      </c>
    </row>
    <row r="935" spans="4:8" ht="1.95" customHeight="1" x14ac:dyDescent="0.3">
      <c r="D935" s="59"/>
      <c r="E935" s="118"/>
      <c r="F935" s="59"/>
      <c r="G935" s="196"/>
      <c r="H935" s="59"/>
    </row>
    <row r="936" spans="4:8" ht="13.95" customHeight="1" x14ac:dyDescent="0.3">
      <c r="D936" s="59"/>
      <c r="E936" s="118"/>
      <c r="F936" s="46" t="str">
        <f xml:space="preserve"> Inputs!E$328</f>
        <v>Elektriciteitsproductie, verbranding papier</v>
      </c>
      <c r="G936" s="191">
        <f xml:space="preserve"> Inputs!F$328</f>
        <v>1.74</v>
      </c>
      <c r="H936" s="46" t="str">
        <f xml:space="preserve"> Inputs!G$328</f>
        <v>MJ / kg</v>
      </c>
    </row>
    <row r="937" spans="4:8" ht="13.95" customHeight="1" x14ac:dyDescent="0.3">
      <c r="D937" s="59"/>
      <c r="E937" s="118"/>
      <c r="F937" s="46" t="str">
        <f xml:space="preserve"> Inputs!E$329</f>
        <v>Warmteproductie, verbranding papier</v>
      </c>
      <c r="G937" s="191">
        <f xml:space="preserve"> Inputs!F$329</f>
        <v>3.5</v>
      </c>
      <c r="H937" s="46" t="str">
        <f xml:space="preserve"> Inputs!G$329</f>
        <v>MJ / kg</v>
      </c>
    </row>
    <row r="938" spans="4:8" ht="1.95" customHeight="1" x14ac:dyDescent="0.3">
      <c r="D938" s="59"/>
      <c r="E938" s="118"/>
      <c r="F938" s="46"/>
      <c r="G938" s="191"/>
      <c r="H938" s="46"/>
    </row>
    <row r="939" spans="4:8" ht="13.95" customHeight="1" x14ac:dyDescent="0.3">
      <c r="D939" s="59"/>
      <c r="E939" s="118"/>
      <c r="F939" s="46" t="str">
        <f xml:space="preserve"> Inputs!E$12</f>
        <v>Conversie MJ naar kwh</v>
      </c>
      <c r="G939" s="198">
        <f xml:space="preserve"> Inputs!F$12</f>
        <v>0.27777800000000002</v>
      </c>
      <c r="H939" s="46" t="str">
        <f xml:space="preserve"> Inputs!G$12</f>
        <v>kwh / MJ</v>
      </c>
    </row>
    <row r="940" spans="4:8" ht="1.95" customHeight="1" x14ac:dyDescent="0.3">
      <c r="D940" s="59"/>
      <c r="E940" s="118"/>
      <c r="F940" s="59"/>
      <c r="G940" s="196"/>
      <c r="H940" s="59"/>
    </row>
    <row r="941" spans="4:8" ht="13.95" customHeight="1" x14ac:dyDescent="0.3">
      <c r="D941" s="59"/>
      <c r="E941" s="118"/>
      <c r="F941" s="80" t="s">
        <v>1023</v>
      </c>
      <c r="G941" s="129">
        <f>$G$934*G936*G939</f>
        <v>215853.93012960599</v>
      </c>
      <c r="H941" s="80" t="s">
        <v>1113</v>
      </c>
    </row>
    <row r="942" spans="4:8" ht="13.95" customHeight="1" x14ac:dyDescent="0.3">
      <c r="D942" s="59"/>
      <c r="E942" s="118"/>
      <c r="F942" s="80" t="s">
        <v>1024</v>
      </c>
      <c r="G942" s="129">
        <f>$G$934*G937*G939</f>
        <v>434188.9399158741</v>
      </c>
      <c r="H942" s="80" t="s">
        <v>1113</v>
      </c>
    </row>
    <row r="943" spans="4:8" ht="13.95" customHeight="1" x14ac:dyDescent="0.3">
      <c r="D943" s="59"/>
      <c r="E943" s="118"/>
      <c r="F943" s="59"/>
      <c r="G943" s="59"/>
      <c r="H943" s="59"/>
    </row>
    <row r="944" spans="4:8" ht="13.95" customHeight="1" x14ac:dyDescent="0.3">
      <c r="D944" s="59"/>
      <c r="E944" s="118"/>
      <c r="F944" s="46" t="str">
        <f xml:space="preserve"> Inputs!E$350</f>
        <v>Elektriciteitsproductie NL, hernieuwbare energie, biomassa</v>
      </c>
      <c r="G944" s="46">
        <f xml:space="preserve"> Inputs!F$350</f>
        <v>3.2242999999999999</v>
      </c>
      <c r="H944" s="46" t="str">
        <f xml:space="preserve"> Inputs!G$350</f>
        <v>MJ-eq / kwh</v>
      </c>
    </row>
    <row r="945" spans="4:8" ht="13.95" customHeight="1" x14ac:dyDescent="0.3">
      <c r="D945" s="59"/>
      <c r="E945" s="118"/>
      <c r="F945" s="46" t="str">
        <f xml:space="preserve"> Inputs!E$351</f>
        <v>Elektriciteitsproductie NL, hernieuwbare energie, geothermie</v>
      </c>
      <c r="G945" s="46">
        <f xml:space="preserve"> Inputs!F$351</f>
        <v>6.3539E-4</v>
      </c>
      <c r="H945" s="46" t="str">
        <f xml:space="preserve"> Inputs!G$351</f>
        <v>MJ-eq / kwh</v>
      </c>
    </row>
    <row r="946" spans="4:8" ht="13.95" customHeight="1" x14ac:dyDescent="0.3">
      <c r="D946" s="59"/>
      <c r="E946" s="118"/>
      <c r="F946" s="46" t="str">
        <f xml:space="preserve"> Inputs!E$352</f>
        <v>Elektriciteitsproductie NL, hernieuwbare energie, zon</v>
      </c>
      <c r="G946" s="46">
        <f xml:space="preserve"> Inputs!F$352</f>
        <v>2.5720000000000002E-4</v>
      </c>
      <c r="H946" s="46" t="str">
        <f xml:space="preserve"> Inputs!G$352</f>
        <v>MJ-eq / kwh</v>
      </c>
    </row>
    <row r="947" spans="4:8" ht="13.95" customHeight="1" x14ac:dyDescent="0.3">
      <c r="D947" s="59"/>
      <c r="E947" s="118"/>
      <c r="F947" s="46" t="str">
        <f xml:space="preserve"> Inputs!E$353</f>
        <v>Elektriciteitsproductie NL, hernieuwbare energie, water</v>
      </c>
      <c r="G947" s="46">
        <f xml:space="preserve"> Inputs!F$353</f>
        <v>2.9499000000000001E-2</v>
      </c>
      <c r="H947" s="46" t="str">
        <f xml:space="preserve"> Inputs!G$353</f>
        <v>MJ-eq / kwh</v>
      </c>
    </row>
    <row r="948" spans="4:8" ht="13.95" customHeight="1" x14ac:dyDescent="0.3">
      <c r="D948" s="59"/>
      <c r="E948" s="118"/>
      <c r="F948" s="46" t="str">
        <f xml:space="preserve"> Inputs!E$354</f>
        <v>Elektriciteitsproductie NL, hernieuwbare energie, wind</v>
      </c>
      <c r="G948" s="46">
        <f xml:space="preserve"> Inputs!F$354</f>
        <v>6.4552999999999998E-3</v>
      </c>
      <c r="H948" s="46" t="str">
        <f xml:space="preserve"> Inputs!G$354</f>
        <v>MJ-eq / kwh</v>
      </c>
    </row>
    <row r="949" spans="4:8" ht="1.95" customHeight="1" x14ac:dyDescent="0.3">
      <c r="D949" s="59"/>
      <c r="E949" s="118"/>
      <c r="F949" s="58"/>
      <c r="G949" s="58"/>
      <c r="H949" s="58"/>
    </row>
    <row r="950" spans="4:8" ht="13.95" customHeight="1" x14ac:dyDescent="0.3">
      <c r="D950" s="59"/>
      <c r="E950" s="118"/>
      <c r="F950" s="46" t="str">
        <f xml:space="preserve"> Inputs!E$356</f>
        <v>Elektriciteitsproductie NL, niet-hernieuwbare energie, fossiel</v>
      </c>
      <c r="G950" s="46">
        <f xml:space="preserve"> Inputs!F$356</f>
        <v>15.563000000000001</v>
      </c>
      <c r="H950" s="46" t="str">
        <f xml:space="preserve"> Inputs!G$356</f>
        <v>MJ-eq / kwh</v>
      </c>
    </row>
    <row r="951" spans="4:8" ht="13.95" customHeight="1" x14ac:dyDescent="0.3">
      <c r="D951" s="59"/>
      <c r="E951" s="118"/>
      <c r="F951" s="46" t="str">
        <f xml:space="preserve"> Inputs!E$357</f>
        <v>Elektriciteitsproductie NL, niet-hernieuwbare energie, nucleair</v>
      </c>
      <c r="G951" s="46">
        <f xml:space="preserve"> Inputs!F$357</f>
        <v>0.26207000000000003</v>
      </c>
      <c r="H951" s="46" t="str">
        <f xml:space="preserve"> Inputs!G$357</f>
        <v>MJ-eq / kwh</v>
      </c>
    </row>
    <row r="952" spans="4:8" ht="13.95" customHeight="1" x14ac:dyDescent="0.3">
      <c r="D952" s="59"/>
      <c r="E952" s="118"/>
      <c r="F952" s="46" t="str">
        <f xml:space="preserve"> Inputs!E$358</f>
        <v>Elektriciteitsproductie NL, niet-hernieuwbare energie, oerbos</v>
      </c>
      <c r="G952" s="46">
        <f xml:space="preserve"> Inputs!F$358</f>
        <v>2.0896000000000001E-3</v>
      </c>
      <c r="H952" s="46" t="str">
        <f xml:space="preserve"> Inputs!G$358</f>
        <v>MJ-eq / kwh</v>
      </c>
    </row>
    <row r="953" spans="4:8" ht="1.95" customHeight="1" x14ac:dyDescent="0.3">
      <c r="D953" s="59"/>
      <c r="E953" s="118"/>
      <c r="F953" s="46"/>
      <c r="G953" s="46"/>
      <c r="H953" s="46"/>
    </row>
    <row r="954" spans="4:8" ht="13.95" customHeight="1" x14ac:dyDescent="0.3">
      <c r="D954" s="59"/>
      <c r="E954" s="118"/>
      <c r="F954" s="46" t="str">
        <f xml:space="preserve"> Inputs!E$360</f>
        <v>Elektriciteitsproductie NL, water</v>
      </c>
      <c r="G954" s="46">
        <f xml:space="preserve"> Inputs!F$360</f>
        <v>1.5888E-3</v>
      </c>
      <c r="H954" s="46" t="str">
        <f xml:space="preserve"> Inputs!G$360</f>
        <v>m3 / kwh</v>
      </c>
    </row>
    <row r="955" spans="4:8" ht="1.95" customHeight="1" x14ac:dyDescent="0.3">
      <c r="D955" s="59"/>
      <c r="E955" s="118"/>
      <c r="F955" s="46"/>
      <c r="G955" s="46"/>
      <c r="H955" s="46"/>
    </row>
    <row r="956" spans="4:8" ht="13.95" customHeight="1" x14ac:dyDescent="0.3">
      <c r="D956" s="59"/>
      <c r="E956" s="118"/>
      <c r="F956" s="46" t="str">
        <f xml:space="preserve"> Inputs!E$362</f>
        <v>Elektriciteitsproductie NL, GWP100</v>
      </c>
      <c r="G956" s="46">
        <f xml:space="preserve"> Inputs!F$362</f>
        <v>0.49099999999999999</v>
      </c>
      <c r="H956" s="46" t="str">
        <f xml:space="preserve"> Inputs!G$362</f>
        <v>kg CO2-eq / kwh</v>
      </c>
    </row>
    <row r="957" spans="4:8" ht="13.95" customHeight="1" x14ac:dyDescent="0.3">
      <c r="D957" s="59"/>
      <c r="E957" s="118"/>
      <c r="F957" s="59"/>
      <c r="G957" s="59"/>
      <c r="H957" s="59"/>
    </row>
    <row r="958" spans="4:8" ht="13.95" customHeight="1" x14ac:dyDescent="0.3">
      <c r="D958" s="59"/>
      <c r="E958" s="118"/>
      <c r="F958" s="68" t="s">
        <v>732</v>
      </c>
      <c r="G958" s="193">
        <f>SUM(G944:G948)</f>
        <v>3.2611468899999996</v>
      </c>
      <c r="H958" s="68" t="s">
        <v>587</v>
      </c>
    </row>
    <row r="959" spans="4:8" ht="13.95" customHeight="1" x14ac:dyDescent="0.3">
      <c r="D959" s="59"/>
      <c r="E959" s="118"/>
      <c r="F959" s="68" t="s">
        <v>733</v>
      </c>
      <c r="G959" s="193">
        <f>SUM(G950:G952)</f>
        <v>15.8271596</v>
      </c>
      <c r="H959" s="68" t="s">
        <v>587</v>
      </c>
    </row>
    <row r="960" spans="4:8" ht="13.95" customHeight="1" x14ac:dyDescent="0.3">
      <c r="D960" s="59"/>
      <c r="E960" s="118"/>
      <c r="F960" s="68" t="s">
        <v>585</v>
      </c>
      <c r="G960" s="193">
        <f>G954</f>
        <v>1.5888E-3</v>
      </c>
      <c r="H960" s="68" t="s">
        <v>588</v>
      </c>
    </row>
    <row r="961" spans="4:8" ht="13.95" customHeight="1" x14ac:dyDescent="0.3">
      <c r="D961" s="59"/>
      <c r="E961" s="118"/>
      <c r="F961" s="68" t="s">
        <v>586</v>
      </c>
      <c r="G961" s="193">
        <f>G956</f>
        <v>0.49099999999999999</v>
      </c>
      <c r="H961" s="68" t="s">
        <v>589</v>
      </c>
    </row>
    <row r="962" spans="4:8" ht="1.95" customHeight="1" x14ac:dyDescent="0.3">
      <c r="D962" s="59"/>
      <c r="E962" s="118"/>
      <c r="F962" s="59"/>
      <c r="G962" s="192"/>
      <c r="H962" s="59"/>
    </row>
    <row r="963" spans="4:8" ht="13.95" customHeight="1" x14ac:dyDescent="0.3">
      <c r="D963" s="59"/>
      <c r="E963" s="118"/>
      <c r="F963" s="64" t="str">
        <f xml:space="preserve"> F$941</f>
        <v>Jaarlijkse elektriciteitsproductie, verbranding papier</v>
      </c>
      <c r="G963" s="127">
        <f xml:space="preserve"> G$941</f>
        <v>215853.93012960599</v>
      </c>
      <c r="H963" s="64" t="str">
        <f xml:space="preserve"> H$941</f>
        <v>kwh / jaar</v>
      </c>
    </row>
    <row r="964" spans="4:8" ht="1.95" customHeight="1" x14ac:dyDescent="0.3">
      <c r="D964" s="59"/>
      <c r="E964" s="118"/>
      <c r="F964" s="59"/>
      <c r="G964" s="196"/>
      <c r="H964" s="59"/>
    </row>
    <row r="965" spans="4:8" ht="13.95" customHeight="1" x14ac:dyDescent="0.3">
      <c r="D965" s="59"/>
      <c r="E965" s="118"/>
      <c r="F965" s="68" t="s">
        <v>1025</v>
      </c>
      <c r="G965" s="129">
        <f>G958*$G$963</f>
        <v>703931.3729364418</v>
      </c>
      <c r="H965" s="68" t="str">
        <f xml:space="preserve"> H$710</f>
        <v>MJ-eq</v>
      </c>
    </row>
    <row r="966" spans="4:8" ht="13.95" customHeight="1" x14ac:dyDescent="0.3">
      <c r="D966" s="59"/>
      <c r="E966" s="118"/>
      <c r="F966" s="68" t="s">
        <v>1026</v>
      </c>
      <c r="G966" s="129">
        <f t="shared" ref="G966:G968" si="24">G959*$G$963</f>
        <v>3416354.6024485226</v>
      </c>
      <c r="H966" s="68" t="str">
        <f xml:space="preserve"> H$711</f>
        <v>MJ-eq</v>
      </c>
    </row>
    <row r="967" spans="4:8" ht="13.95" customHeight="1" x14ac:dyDescent="0.3">
      <c r="D967" s="59"/>
      <c r="E967" s="118"/>
      <c r="F967" s="68" t="s">
        <v>1027</v>
      </c>
      <c r="G967" s="129">
        <f t="shared" si="24"/>
        <v>342.94872418991798</v>
      </c>
      <c r="H967" s="68" t="str">
        <f xml:space="preserve"> H$712</f>
        <v>m3</v>
      </c>
    </row>
    <row r="968" spans="4:8" ht="13.95" customHeight="1" x14ac:dyDescent="0.3">
      <c r="D968" s="59"/>
      <c r="E968" s="118"/>
      <c r="F968" s="68" t="s">
        <v>1028</v>
      </c>
      <c r="G968" s="129">
        <f t="shared" si="24"/>
        <v>105984.27969363653</v>
      </c>
      <c r="H968" s="68" t="str">
        <f xml:space="preserve"> H$713</f>
        <v>kg CO2-eq</v>
      </c>
    </row>
    <row r="969" spans="4:8" ht="13.95" customHeight="1" x14ac:dyDescent="0.3">
      <c r="D969" s="59"/>
      <c r="E969" s="118"/>
      <c r="F969" s="59"/>
      <c r="G969" s="196"/>
      <c r="H969" s="59"/>
    </row>
    <row r="970" spans="4:8" ht="13.95" customHeight="1" x14ac:dyDescent="0.3">
      <c r="D970" s="59"/>
      <c r="E970" s="118"/>
      <c r="F970" s="46" t="str">
        <f xml:space="preserve"> Inputs!E$364</f>
        <v>Warmteproductie NL, hernieuwbare energie, biomassa</v>
      </c>
      <c r="G970" s="79">
        <f xml:space="preserve"> Inputs!F$364</f>
        <v>2.0808E-4</v>
      </c>
      <c r="H970" s="46" t="str">
        <f xml:space="preserve"> Inputs!G$364</f>
        <v>MJ-eq / kwh</v>
      </c>
    </row>
    <row r="971" spans="4:8" ht="13.95" customHeight="1" x14ac:dyDescent="0.3">
      <c r="D971" s="59"/>
      <c r="E971" s="118"/>
      <c r="F971" s="46" t="str">
        <f xml:space="preserve"> Inputs!E$365</f>
        <v>Warmteproductie NL, hernieuwbare energie, geothermie</v>
      </c>
      <c r="G971" s="79">
        <f xml:space="preserve"> Inputs!F$365</f>
        <v>5.0508E-6</v>
      </c>
      <c r="H971" s="46" t="str">
        <f xml:space="preserve"> Inputs!G$365</f>
        <v>MJ-eq / kwh</v>
      </c>
    </row>
    <row r="972" spans="4:8" ht="13.95" customHeight="1" x14ac:dyDescent="0.3">
      <c r="D972" s="59"/>
      <c r="E972" s="118"/>
      <c r="F972" s="46" t="str">
        <f xml:space="preserve"> Inputs!E$366</f>
        <v>Warmteproductie NL, hernieuwbare energie, zon</v>
      </c>
      <c r="G972" s="79">
        <f xml:space="preserve"> Inputs!F$366</f>
        <v>3.8564E-7</v>
      </c>
      <c r="H972" s="46" t="str">
        <f xml:space="preserve"> Inputs!G$366</f>
        <v>MJ-eq / kwh</v>
      </c>
    </row>
    <row r="973" spans="4:8" ht="13.95" customHeight="1" x14ac:dyDescent="0.3">
      <c r="D973" s="59"/>
      <c r="E973" s="118"/>
      <c r="F973" s="46" t="str">
        <f xml:space="preserve"> Inputs!E$367</f>
        <v>Warmteproductie NL, hernieuwbare energie, water</v>
      </c>
      <c r="G973" s="79">
        <f xml:space="preserve"> Inputs!F$367</f>
        <v>3.8290999999999998E-4</v>
      </c>
      <c r="H973" s="46" t="str">
        <f xml:space="preserve"> Inputs!G$367</f>
        <v>MJ-eq / kwh</v>
      </c>
    </row>
    <row r="974" spans="4:8" ht="13.95" customHeight="1" x14ac:dyDescent="0.3">
      <c r="D974" s="59"/>
      <c r="E974" s="118"/>
      <c r="F974" s="46" t="str">
        <f xml:space="preserve"> Inputs!E$368</f>
        <v>Warmteproductie NL, hernieuwbare energie, wind</v>
      </c>
      <c r="G974" s="79">
        <f xml:space="preserve"> Inputs!F$368</f>
        <v>7.6681000000000007E-5</v>
      </c>
      <c r="H974" s="46" t="str">
        <f xml:space="preserve"> Inputs!G$368</f>
        <v>MJ-eq / kwh</v>
      </c>
    </row>
    <row r="975" spans="4:8" ht="1.95" customHeight="1" x14ac:dyDescent="0.3">
      <c r="D975" s="59"/>
      <c r="E975" s="118"/>
      <c r="F975" s="46"/>
      <c r="G975" s="79"/>
      <c r="H975" s="46"/>
    </row>
    <row r="976" spans="4:8" ht="13.95" customHeight="1" x14ac:dyDescent="0.3">
      <c r="D976" s="59"/>
      <c r="E976" s="118"/>
      <c r="F976" s="46" t="str">
        <f xml:space="preserve"> Inputs!E$370</f>
        <v>Warmteproductie NL, niet-hernieuwbare energie, fossiel</v>
      </c>
      <c r="G976" s="79">
        <f xml:space="preserve"> Inputs!F$370</f>
        <v>0.51809000000000005</v>
      </c>
      <c r="H976" s="46" t="str">
        <f xml:space="preserve"> Inputs!G$370</f>
        <v>MJ-eq / kwh</v>
      </c>
    </row>
    <row r="977" spans="4:8" ht="13.95" customHeight="1" x14ac:dyDescent="0.3">
      <c r="D977" s="59"/>
      <c r="E977" s="118"/>
      <c r="F977" s="46" t="str">
        <f xml:space="preserve"> Inputs!E$371</f>
        <v>Warmteproductie NL, niet-hernieuwbare energie, nucleair</v>
      </c>
      <c r="G977" s="79">
        <f xml:space="preserve"> Inputs!F$371</f>
        <v>5.9409999999999997E-4</v>
      </c>
      <c r="H977" s="46" t="str">
        <f xml:space="preserve"> Inputs!G$371</f>
        <v>MJ-eq / kwh</v>
      </c>
    </row>
    <row r="978" spans="4:8" ht="13.95" customHeight="1" x14ac:dyDescent="0.3">
      <c r="D978" s="59"/>
      <c r="E978" s="118"/>
      <c r="F978" s="46" t="str">
        <f xml:space="preserve"> Inputs!E$372</f>
        <v>Warmteproductie NL, niet-hernieuwbare energie, oerbos</v>
      </c>
      <c r="G978" s="79">
        <f xml:space="preserve"> Inputs!F$372</f>
        <v>8.5758000000000003E-7</v>
      </c>
      <c r="H978" s="46" t="str">
        <f xml:space="preserve"> Inputs!G$372</f>
        <v>MJ-eq / kwh</v>
      </c>
    </row>
    <row r="979" spans="4:8" ht="1.95" customHeight="1" x14ac:dyDescent="0.3">
      <c r="D979" s="59"/>
      <c r="E979" s="118"/>
      <c r="F979" s="46"/>
      <c r="G979" s="79"/>
      <c r="H979" s="46"/>
    </row>
    <row r="980" spans="4:8" ht="13.95" customHeight="1" x14ac:dyDescent="0.3">
      <c r="D980" s="59"/>
      <c r="E980" s="118"/>
      <c r="F980" s="46" t="str">
        <f xml:space="preserve"> Inputs!E$374</f>
        <v>Warmteproductie NL, water</v>
      </c>
      <c r="G980" s="79">
        <f xml:space="preserve"> Inputs!F$374</f>
        <v>9.8060999999999995E-5</v>
      </c>
      <c r="H980" s="46" t="str">
        <f xml:space="preserve"> Inputs!G$374</f>
        <v>m3 / kwh</v>
      </c>
    </row>
    <row r="981" spans="4:8" ht="1.95" customHeight="1" x14ac:dyDescent="0.3">
      <c r="D981" s="59"/>
      <c r="E981" s="118"/>
      <c r="F981" s="46"/>
      <c r="G981" s="79"/>
      <c r="H981" s="46"/>
    </row>
    <row r="982" spans="4:8" ht="13.95" customHeight="1" x14ac:dyDescent="0.3">
      <c r="D982" s="59"/>
      <c r="E982" s="118"/>
      <c r="F982" s="46" t="str">
        <f xml:space="preserve"> Inputs!E$376</f>
        <v>Warmteproductie NL, GWP100</v>
      </c>
      <c r="G982" s="79">
        <f xml:space="preserve"> Inputs!F$376</f>
        <v>2.6577E-2</v>
      </c>
      <c r="H982" s="46" t="str">
        <f xml:space="preserve"> Inputs!G$376</f>
        <v>kg CO2-eq / kwh</v>
      </c>
    </row>
    <row r="983" spans="4:8" ht="13.95" customHeight="1" x14ac:dyDescent="0.3">
      <c r="D983" s="59"/>
      <c r="E983" s="118"/>
      <c r="F983" s="59"/>
      <c r="G983" s="59"/>
      <c r="H983" s="59"/>
    </row>
    <row r="984" spans="4:8" ht="13.95" customHeight="1" x14ac:dyDescent="0.3">
      <c r="D984" s="59"/>
      <c r="E984" s="118"/>
      <c r="F984" s="68" t="s">
        <v>748</v>
      </c>
      <c r="G984" s="75">
        <f>SUM(G970:G974)</f>
        <v>6.7310743999999991E-4</v>
      </c>
      <c r="H984" s="68" t="s">
        <v>587</v>
      </c>
    </row>
    <row r="985" spans="4:8" ht="13.95" customHeight="1" x14ac:dyDescent="0.3">
      <c r="D985" s="59"/>
      <c r="E985" s="118"/>
      <c r="F985" s="68" t="s">
        <v>749</v>
      </c>
      <c r="G985" s="75">
        <f>SUM(G976:G978)</f>
        <v>0.51868495758000011</v>
      </c>
      <c r="H985" s="68" t="s">
        <v>587</v>
      </c>
    </row>
    <row r="986" spans="4:8" ht="13.95" customHeight="1" x14ac:dyDescent="0.3">
      <c r="D986" s="59"/>
      <c r="E986" s="118"/>
      <c r="F986" s="68" t="s">
        <v>746</v>
      </c>
      <c r="G986" s="75">
        <f>G980</f>
        <v>9.8060999999999995E-5</v>
      </c>
      <c r="H986" s="68" t="s">
        <v>588</v>
      </c>
    </row>
    <row r="987" spans="4:8" ht="13.95" customHeight="1" x14ac:dyDescent="0.3">
      <c r="D987" s="59"/>
      <c r="E987" s="118"/>
      <c r="F987" s="68" t="s">
        <v>747</v>
      </c>
      <c r="G987" s="75">
        <f>G982</f>
        <v>2.6577E-2</v>
      </c>
      <c r="H987" s="68" t="s">
        <v>589</v>
      </c>
    </row>
    <row r="988" spans="4:8" ht="1.95" customHeight="1" x14ac:dyDescent="0.3">
      <c r="D988" s="59"/>
      <c r="E988" s="118"/>
      <c r="F988" s="59"/>
      <c r="G988" s="59"/>
      <c r="H988" s="59"/>
    </row>
    <row r="989" spans="4:8" ht="13.95" customHeight="1" x14ac:dyDescent="0.3">
      <c r="D989" s="59"/>
      <c r="E989" s="118"/>
      <c r="F989" s="64" t="str">
        <f xml:space="preserve"> F$942</f>
        <v>Jaarlijkse warmteproductie, verbranding papier</v>
      </c>
      <c r="G989" s="97">
        <f xml:space="preserve"> G$942</f>
        <v>434188.9399158741</v>
      </c>
      <c r="H989" s="64" t="str">
        <f xml:space="preserve"> H$942</f>
        <v>kwh / jaar</v>
      </c>
    </row>
    <row r="990" spans="4:8" ht="1.95" customHeight="1" x14ac:dyDescent="0.3">
      <c r="D990" s="59"/>
      <c r="E990" s="118"/>
      <c r="F990" s="59"/>
      <c r="G990" s="59"/>
      <c r="H990" s="59"/>
    </row>
    <row r="991" spans="4:8" ht="13.95" customHeight="1" x14ac:dyDescent="0.3">
      <c r="D991" s="59"/>
      <c r="E991" s="118"/>
      <c r="F991" s="68" t="s">
        <v>1029</v>
      </c>
      <c r="G991" s="73">
        <f>G984*$G$989</f>
        <v>292.25580582308777</v>
      </c>
      <c r="H991" s="68" t="str">
        <f xml:space="preserve"> H$710</f>
        <v>MJ-eq</v>
      </c>
    </row>
    <row r="992" spans="4:8" ht="13.95" customHeight="1" x14ac:dyDescent="0.3">
      <c r="D992" s="59"/>
      <c r="E992" s="118"/>
      <c r="F992" s="68" t="s">
        <v>1030</v>
      </c>
      <c r="G992" s="73">
        <f t="shared" ref="G992:G994" si="25">G985*$G$989</f>
        <v>225207.27188197037</v>
      </c>
      <c r="H992" s="68" t="str">
        <f xml:space="preserve"> H$711</f>
        <v>MJ-eq</v>
      </c>
    </row>
    <row r="993" spans="4:8" ht="13.95" customHeight="1" x14ac:dyDescent="0.3">
      <c r="D993" s="59"/>
      <c r="E993" s="118"/>
      <c r="F993" s="68" t="s">
        <v>1031</v>
      </c>
      <c r="G993" s="73">
        <f t="shared" si="25"/>
        <v>42.577001637090525</v>
      </c>
      <c r="H993" s="68" t="str">
        <f xml:space="preserve"> H$712</f>
        <v>m3</v>
      </c>
    </row>
    <row r="994" spans="4:8" ht="13.95" customHeight="1" x14ac:dyDescent="0.3">
      <c r="D994" s="59"/>
      <c r="E994" s="118"/>
      <c r="F994" s="68" t="s">
        <v>1032</v>
      </c>
      <c r="G994" s="73">
        <f t="shared" si="25"/>
        <v>11539.439456144186</v>
      </c>
      <c r="H994" s="68" t="str">
        <f xml:space="preserve"> H$713</f>
        <v>kg CO2-eq</v>
      </c>
    </row>
    <row r="995" spans="4:8" ht="13.95" customHeight="1" x14ac:dyDescent="0.3">
      <c r="D995" s="59"/>
      <c r="E995" s="118"/>
      <c r="F995" s="59"/>
      <c r="G995" s="59"/>
      <c r="H995" s="59"/>
    </row>
    <row r="996" spans="4:8" ht="13.95" customHeight="1" x14ac:dyDescent="0.3">
      <c r="D996" s="59"/>
      <c r="E996" s="118"/>
      <c r="F996" s="64" t="str">
        <f xml:space="preserve"> F$965</f>
        <v>Totale impact elektriciteitsproductie papierverbranden, hernieuwbare energie</v>
      </c>
      <c r="G996" s="127">
        <f xml:space="preserve"> G$965</f>
        <v>703931.3729364418</v>
      </c>
      <c r="H996" s="64" t="str">
        <f xml:space="preserve"> H$965</f>
        <v>MJ-eq</v>
      </c>
    </row>
    <row r="997" spans="4:8" ht="13.95" customHeight="1" x14ac:dyDescent="0.3">
      <c r="D997" s="59"/>
      <c r="E997" s="118"/>
      <c r="F997" s="64" t="str">
        <f xml:space="preserve"> F$966</f>
        <v>Totale impact elektriciteitsproductie papierverbranden, niet-hernieuwbare energie</v>
      </c>
      <c r="G997" s="127">
        <f xml:space="preserve"> G$966</f>
        <v>3416354.6024485226</v>
      </c>
      <c r="H997" s="64" t="str">
        <f xml:space="preserve"> H$966</f>
        <v>MJ-eq</v>
      </c>
    </row>
    <row r="998" spans="4:8" ht="13.95" customHeight="1" x14ac:dyDescent="0.3">
      <c r="D998" s="59"/>
      <c r="E998" s="118"/>
      <c r="F998" s="64" t="str">
        <f xml:space="preserve"> F$967</f>
        <v>Totale impact elektriciteitsproductie papierverbranden, water</v>
      </c>
      <c r="G998" s="127">
        <f xml:space="preserve"> G$967</f>
        <v>342.94872418991798</v>
      </c>
      <c r="H998" s="64" t="str">
        <f xml:space="preserve"> H$967</f>
        <v>m3</v>
      </c>
    </row>
    <row r="999" spans="4:8" ht="13.95" customHeight="1" x14ac:dyDescent="0.3">
      <c r="D999" s="59"/>
      <c r="E999" s="118"/>
      <c r="F999" s="64" t="str">
        <f xml:space="preserve"> F$968</f>
        <v>Totale impact elektriciteitsproductie papierverbranden, GWP100</v>
      </c>
      <c r="G999" s="127">
        <f xml:space="preserve"> G$968</f>
        <v>105984.27969363653</v>
      </c>
      <c r="H999" s="64" t="str">
        <f xml:space="preserve"> H$968</f>
        <v>kg CO2-eq</v>
      </c>
    </row>
    <row r="1000" spans="4:8" ht="1.95" customHeight="1" x14ac:dyDescent="0.3">
      <c r="D1000" s="59"/>
      <c r="E1000" s="118"/>
      <c r="F1000" s="107"/>
      <c r="G1000" s="196"/>
      <c r="H1000" s="59"/>
    </row>
    <row r="1001" spans="4:8" ht="13.95" customHeight="1" x14ac:dyDescent="0.3">
      <c r="D1001" s="59"/>
      <c r="E1001" s="118"/>
      <c r="F1001" s="64" t="str">
        <f xml:space="preserve"> F$991</f>
        <v>Totale impact warmteproductie papierverbranden, hernieuwbare energie</v>
      </c>
      <c r="G1001" s="127">
        <f xml:space="preserve"> G$991</f>
        <v>292.25580582308777</v>
      </c>
      <c r="H1001" s="64" t="str">
        <f xml:space="preserve"> H$991</f>
        <v>MJ-eq</v>
      </c>
    </row>
    <row r="1002" spans="4:8" ht="13.95" customHeight="1" x14ac:dyDescent="0.3">
      <c r="D1002" s="59"/>
      <c r="E1002" s="118"/>
      <c r="F1002" s="64" t="str">
        <f xml:space="preserve"> F$992</f>
        <v>Totale impact warmteproductie papierverbranden, niet-hernieuwbare energie</v>
      </c>
      <c r="G1002" s="127">
        <f xml:space="preserve"> G$992</f>
        <v>225207.27188197037</v>
      </c>
      <c r="H1002" s="64" t="str">
        <f xml:space="preserve"> H$992</f>
        <v>MJ-eq</v>
      </c>
    </row>
    <row r="1003" spans="4:8" ht="13.95" customHeight="1" x14ac:dyDescent="0.3">
      <c r="D1003" s="59"/>
      <c r="E1003" s="118"/>
      <c r="F1003" s="64" t="str">
        <f xml:space="preserve"> F$993</f>
        <v>Totale impact warmteproductie papierverbranden, water</v>
      </c>
      <c r="G1003" s="127">
        <f xml:space="preserve"> G$993</f>
        <v>42.577001637090525</v>
      </c>
      <c r="H1003" s="64" t="str">
        <f xml:space="preserve"> H$993</f>
        <v>m3</v>
      </c>
    </row>
    <row r="1004" spans="4:8" ht="13.95" customHeight="1" x14ac:dyDescent="0.3">
      <c r="D1004" s="59"/>
      <c r="E1004" s="118"/>
      <c r="F1004" s="64" t="str">
        <f xml:space="preserve"> F$994</f>
        <v>Totale impact warmteproductie papierverbranden, GWP100</v>
      </c>
      <c r="G1004" s="127">
        <f xml:space="preserve"> G$994</f>
        <v>11539.439456144186</v>
      </c>
      <c r="H1004" s="64" t="str">
        <f xml:space="preserve"> H$994</f>
        <v>kg CO2-eq</v>
      </c>
    </row>
    <row r="1005" spans="4:8" ht="1.95" customHeight="1" x14ac:dyDescent="0.3">
      <c r="D1005" s="59"/>
      <c r="E1005" s="118"/>
      <c r="F1005" s="107"/>
      <c r="G1005" s="196"/>
      <c r="H1005" s="59"/>
    </row>
    <row r="1006" spans="4:8" ht="13.95" customHeight="1" x14ac:dyDescent="0.3">
      <c r="D1006" s="59"/>
      <c r="E1006" s="118"/>
      <c r="F1006" s="80" t="s">
        <v>1033</v>
      </c>
      <c r="G1006" s="129">
        <f>(G996+G1001)*-1</f>
        <v>-704223.62874226493</v>
      </c>
      <c r="H1006" s="68" t="str">
        <f xml:space="preserve"> H$1174</f>
        <v>MJ-eq</v>
      </c>
    </row>
    <row r="1007" spans="4:8" ht="13.95" customHeight="1" x14ac:dyDescent="0.3">
      <c r="D1007" s="59"/>
      <c r="E1007" s="118"/>
      <c r="F1007" s="80" t="s">
        <v>1034</v>
      </c>
      <c r="G1007" s="129">
        <f t="shared" ref="G1007:G1009" si="26">(G997+G1002)*-1</f>
        <v>-3641561.8743304932</v>
      </c>
      <c r="H1007" s="68" t="str">
        <f xml:space="preserve"> H$1175</f>
        <v>MJ-eq</v>
      </c>
    </row>
    <row r="1008" spans="4:8" ht="13.95" customHeight="1" x14ac:dyDescent="0.3">
      <c r="D1008" s="59"/>
      <c r="E1008" s="118"/>
      <c r="F1008" s="80" t="s">
        <v>1035</v>
      </c>
      <c r="G1008" s="129">
        <f t="shared" si="26"/>
        <v>-385.5257258270085</v>
      </c>
      <c r="H1008" s="68" t="str">
        <f xml:space="preserve"> H$1176</f>
        <v>m3</v>
      </c>
    </row>
    <row r="1009" spans="4:10" ht="13.95" customHeight="1" x14ac:dyDescent="0.3">
      <c r="D1009" s="59"/>
      <c r="E1009" s="118"/>
      <c r="F1009" s="80" t="s">
        <v>1036</v>
      </c>
      <c r="G1009" s="129">
        <f t="shared" si="26"/>
        <v>-117523.71914978072</v>
      </c>
      <c r="H1009" s="68" t="str">
        <f xml:space="preserve"> H$1177</f>
        <v>kg CO2-eq</v>
      </c>
    </row>
    <row r="1010" spans="4:10" ht="13.95" customHeight="1" x14ac:dyDescent="0.3">
      <c r="D1010" s="59"/>
      <c r="E1010" s="118"/>
      <c r="F1010" s="59"/>
      <c r="G1010" s="59"/>
      <c r="H1010" s="59"/>
    </row>
    <row r="1011" spans="4:10" ht="13.95" customHeight="1" x14ac:dyDescent="0.3">
      <c r="D1011" s="80" t="s">
        <v>1014</v>
      </c>
      <c r="E1011" s="118"/>
      <c r="F1011" s="59"/>
      <c r="G1011" s="59"/>
      <c r="H1011" s="59"/>
    </row>
    <row r="1012" spans="4:10" ht="13.95" customHeight="1" x14ac:dyDescent="0.3">
      <c r="D1012" s="59"/>
      <c r="E1012" s="118"/>
      <c r="F1012" s="64" t="str">
        <f xml:space="preserve"> F$900</f>
        <v>Totale impact verwerken gescheiden papier, hernieuwbare energie</v>
      </c>
      <c r="G1012" s="127">
        <f xml:space="preserve"> G$900</f>
        <v>-12340621.7711631</v>
      </c>
      <c r="H1012" s="64" t="str">
        <f xml:space="preserve"> H$900</f>
        <v>MJ-eq</v>
      </c>
      <c r="J1012" s="43"/>
    </row>
    <row r="1013" spans="4:10" ht="13.95" customHeight="1" x14ac:dyDescent="0.3">
      <c r="D1013" s="59"/>
      <c r="E1013" s="118"/>
      <c r="F1013" s="64" t="str">
        <f xml:space="preserve"> F$901</f>
        <v>Totale impact verwerken gescheiden papier, niet-hernieuwbare energie</v>
      </c>
      <c r="G1013" s="127">
        <f xml:space="preserve"> G$901</f>
        <v>-6440401.7664629146</v>
      </c>
      <c r="H1013" s="64" t="str">
        <f xml:space="preserve"> H$901</f>
        <v>MJ-eq</v>
      </c>
    </row>
    <row r="1014" spans="4:10" ht="13.95" customHeight="1" x14ac:dyDescent="0.3">
      <c r="D1014" s="59"/>
      <c r="E1014" s="118"/>
      <c r="F1014" s="64" t="str">
        <f xml:space="preserve"> F$902</f>
        <v>Totale impact verwerken gescheiden papier, water</v>
      </c>
      <c r="G1014" s="127">
        <f xml:space="preserve"> G$902</f>
        <v>-3267.4450236748335</v>
      </c>
      <c r="H1014" s="64" t="str">
        <f xml:space="preserve"> H$902</f>
        <v>m3</v>
      </c>
    </row>
    <row r="1015" spans="4:10" ht="13.95" customHeight="1" x14ac:dyDescent="0.3">
      <c r="D1015" s="59"/>
      <c r="E1015" s="118"/>
      <c r="F1015" s="64" t="str">
        <f xml:space="preserve"> F$903</f>
        <v>Totale impact verwerken gescheiden papier, GWP100</v>
      </c>
      <c r="G1015" s="127">
        <f xml:space="preserve"> G$903</f>
        <v>-158902.22489363037</v>
      </c>
      <c r="H1015" s="64" t="str">
        <f xml:space="preserve"> H$903</f>
        <v>kg CO2-eq</v>
      </c>
    </row>
    <row r="1016" spans="4:10" ht="13.95" customHeight="1" x14ac:dyDescent="0.3">
      <c r="D1016" s="59"/>
      <c r="E1016" s="118"/>
      <c r="F1016" s="114"/>
      <c r="G1016" s="130"/>
      <c r="H1016" s="114"/>
    </row>
    <row r="1017" spans="4:10" ht="13.95" customHeight="1" x14ac:dyDescent="0.3">
      <c r="D1017" s="59"/>
      <c r="E1017" s="118"/>
      <c r="F1017" s="64" t="str">
        <f xml:space="preserve"> F$928</f>
        <v>Totale impact verbranden restafval papier, hernieuwbare energie</v>
      </c>
      <c r="G1017" s="127">
        <f xml:space="preserve"> G$928</f>
        <v>3987.659985369442</v>
      </c>
      <c r="H1017" s="64" t="str">
        <f xml:space="preserve"> H$928</f>
        <v>MJ-eq</v>
      </c>
    </row>
    <row r="1018" spans="4:10" ht="13.95" customHeight="1" x14ac:dyDescent="0.3">
      <c r="D1018" s="59"/>
      <c r="E1018" s="118"/>
      <c r="F1018" s="64" t="str">
        <f xml:space="preserve"> F$929</f>
        <v>Totale impact verbranden restafval papier, niet-hernieuwbare energie</v>
      </c>
      <c r="G1018" s="127">
        <f xml:space="preserve"> G$929</f>
        <v>99063.360287532676</v>
      </c>
      <c r="H1018" s="64" t="str">
        <f xml:space="preserve"> H$929</f>
        <v>MJ-eq</v>
      </c>
    </row>
    <row r="1019" spans="4:10" ht="13.95" customHeight="1" x14ac:dyDescent="0.3">
      <c r="D1019" s="59"/>
      <c r="E1019" s="118"/>
      <c r="F1019" s="64" t="str">
        <f xml:space="preserve"> F$930</f>
        <v>Totale impact verbranden restafval papier, water</v>
      </c>
      <c r="G1019" s="127">
        <f xml:space="preserve"> G$930</f>
        <v>302.02257741928275</v>
      </c>
      <c r="H1019" s="64" t="str">
        <f xml:space="preserve"> H$930</f>
        <v>m3</v>
      </c>
    </row>
    <row r="1020" spans="4:10" ht="13.95" customHeight="1" x14ac:dyDescent="0.3">
      <c r="D1020" s="59"/>
      <c r="E1020" s="118"/>
      <c r="F1020" s="64" t="str">
        <f xml:space="preserve"> F$931</f>
        <v>Totale impact verbranden restafval papier, GWP100</v>
      </c>
      <c r="G1020" s="127">
        <f xml:space="preserve"> G$931</f>
        <v>14160.601947138193</v>
      </c>
      <c r="H1020" s="64" t="str">
        <f xml:space="preserve"> H$931</f>
        <v>kg CO2-eq</v>
      </c>
    </row>
    <row r="1021" spans="4:10" ht="13.95" customHeight="1" x14ac:dyDescent="0.3">
      <c r="D1021" s="59"/>
      <c r="E1021" s="118"/>
      <c r="F1021" s="114"/>
      <c r="G1021" s="130"/>
      <c r="H1021" s="114"/>
    </row>
    <row r="1022" spans="4:10" ht="13.95" customHeight="1" x14ac:dyDescent="0.3">
      <c r="D1022" s="59"/>
      <c r="E1022" s="118"/>
      <c r="F1022" s="64" t="str">
        <f xml:space="preserve"> F$1006</f>
        <v>Totale impact energieproductie papierverbranden, hernieuwbare energie</v>
      </c>
      <c r="G1022" s="127">
        <f xml:space="preserve"> G$1006</f>
        <v>-704223.62874226493</v>
      </c>
      <c r="H1022" s="64" t="str">
        <f xml:space="preserve"> H$1006</f>
        <v>MJ-eq</v>
      </c>
    </row>
    <row r="1023" spans="4:10" ht="13.95" customHeight="1" x14ac:dyDescent="0.3">
      <c r="D1023" s="59"/>
      <c r="E1023" s="118"/>
      <c r="F1023" s="64" t="str">
        <f xml:space="preserve"> F$1007</f>
        <v>Totale impact energieproductie papierverbranden, niet-hernieuwbare energie</v>
      </c>
      <c r="G1023" s="127">
        <f xml:space="preserve"> G$1007</f>
        <v>-3641561.8743304932</v>
      </c>
      <c r="H1023" s="64" t="str">
        <f xml:space="preserve"> H$1007</f>
        <v>MJ-eq</v>
      </c>
    </row>
    <row r="1024" spans="4:10" ht="13.95" customHeight="1" x14ac:dyDescent="0.3">
      <c r="D1024" s="59"/>
      <c r="E1024" s="118"/>
      <c r="F1024" s="64" t="str">
        <f xml:space="preserve"> F$1008</f>
        <v>Totale impact energieproductie papierverbranden, water</v>
      </c>
      <c r="G1024" s="127">
        <f xml:space="preserve"> G$1008</f>
        <v>-385.5257258270085</v>
      </c>
      <c r="H1024" s="64" t="str">
        <f xml:space="preserve"> H$1008</f>
        <v>m3</v>
      </c>
    </row>
    <row r="1025" spans="3:8" ht="13.95" customHeight="1" x14ac:dyDescent="0.3">
      <c r="D1025" s="59"/>
      <c r="E1025" s="118"/>
      <c r="F1025" s="64" t="str">
        <f xml:space="preserve"> F$1009</f>
        <v>Totale impact energieproductie papierverbranden, GWP100</v>
      </c>
      <c r="G1025" s="127">
        <f xml:space="preserve"> G$1009</f>
        <v>-117523.71914978072</v>
      </c>
      <c r="H1025" s="64" t="str">
        <f xml:space="preserve"> H$1009</f>
        <v>kg CO2-eq</v>
      </c>
    </row>
    <row r="1026" spans="3:8" ht="13.95" customHeight="1" x14ac:dyDescent="0.3">
      <c r="D1026" s="59"/>
      <c r="E1026" s="118"/>
      <c r="F1026" s="59"/>
      <c r="G1026" s="59"/>
      <c r="H1026" s="59"/>
    </row>
    <row r="1027" spans="3:8" ht="13.95" customHeight="1" x14ac:dyDescent="0.3">
      <c r="D1027" s="59"/>
      <c r="E1027" s="118"/>
      <c r="F1027" s="80" t="s">
        <v>1037</v>
      </c>
      <c r="G1027" s="190">
        <f>G1012+G1017+G1022</f>
        <v>-13040857.739919996</v>
      </c>
      <c r="H1027" s="68" t="str">
        <f xml:space="preserve"> H$1189</f>
        <v>MJ-eq</v>
      </c>
    </row>
    <row r="1028" spans="3:8" ht="13.95" customHeight="1" x14ac:dyDescent="0.3">
      <c r="D1028" s="59"/>
      <c r="E1028" s="118"/>
      <c r="F1028" s="80" t="s">
        <v>1038</v>
      </c>
      <c r="G1028" s="190">
        <f t="shared" ref="G1028:G1030" si="27">G1013+G1018+G1023</f>
        <v>-9982900.2805058751</v>
      </c>
      <c r="H1028" s="68" t="str">
        <f xml:space="preserve"> H$1190</f>
        <v>MJ-eq</v>
      </c>
    </row>
    <row r="1029" spans="3:8" ht="13.95" customHeight="1" x14ac:dyDescent="0.3">
      <c r="D1029" s="59"/>
      <c r="E1029" s="118"/>
      <c r="F1029" s="80" t="s">
        <v>1039</v>
      </c>
      <c r="G1029" s="190">
        <f t="shared" si="27"/>
        <v>-3350.9481720825593</v>
      </c>
      <c r="H1029" s="68" t="str">
        <f xml:space="preserve"> H$1191</f>
        <v>m3</v>
      </c>
    </row>
    <row r="1030" spans="3:8" ht="13.95" customHeight="1" x14ac:dyDescent="0.3">
      <c r="D1030" s="59"/>
      <c r="E1030" s="118"/>
      <c r="F1030" s="80" t="s">
        <v>1040</v>
      </c>
      <c r="G1030" s="190">
        <f t="shared" si="27"/>
        <v>-262265.34209627286</v>
      </c>
      <c r="H1030" s="68" t="str">
        <f xml:space="preserve"> H$1192</f>
        <v>kg CO2-eq</v>
      </c>
    </row>
    <row r="1031" spans="3:8" ht="13.95" customHeight="1" x14ac:dyDescent="0.3"/>
    <row r="1032" spans="3:8" ht="13.95" customHeight="1" x14ac:dyDescent="0.3">
      <c r="C1032" s="57" t="s">
        <v>704</v>
      </c>
    </row>
    <row r="1033" spans="3:8" ht="13.95" customHeight="1" x14ac:dyDescent="0.3">
      <c r="D1033" t="s">
        <v>724</v>
      </c>
    </row>
    <row r="1034" spans="3:8" ht="13.95" customHeight="1" x14ac:dyDescent="0.3">
      <c r="F1034" s="46" t="str">
        <f xml:space="preserve"> Inputs!E$284</f>
        <v>Vermeden virgin granulaatproductie, hernieuwbare energie, biomassa</v>
      </c>
      <c r="G1034" s="46">
        <f xml:space="preserve"> Inputs!F$284</f>
        <v>0.35518</v>
      </c>
      <c r="H1034" s="46" t="str">
        <f xml:space="preserve"> Inputs!G$284</f>
        <v>MJ-eq / kg</v>
      </c>
    </row>
    <row r="1035" spans="3:8" ht="13.95" customHeight="1" x14ac:dyDescent="0.3">
      <c r="F1035" s="46" t="str">
        <f xml:space="preserve"> Inputs!E$285</f>
        <v>Vermeden virgin granulaatproductie, hernieuwbare energie, geothermie</v>
      </c>
      <c r="G1035" s="46">
        <f xml:space="preserve"> Inputs!F$285</f>
        <v>1.3577000000000001E-2</v>
      </c>
      <c r="H1035" s="46" t="str">
        <f xml:space="preserve"> Inputs!G$285</f>
        <v>MJ-eq / kg</v>
      </c>
    </row>
    <row r="1036" spans="3:8" ht="13.95" customHeight="1" x14ac:dyDescent="0.3">
      <c r="F1036" s="46" t="str">
        <f xml:space="preserve"> Inputs!E$286</f>
        <v>Vermeden virgin granulaatproductie, hernieuwbare energie, zon</v>
      </c>
      <c r="G1036" s="46">
        <f xml:space="preserve"> Inputs!F$286</f>
        <v>7.8949000000000001E-4</v>
      </c>
      <c r="H1036" s="46" t="str">
        <f xml:space="preserve"> Inputs!G$286</f>
        <v>MJ-eq / kg</v>
      </c>
    </row>
    <row r="1037" spans="3:8" ht="13.95" customHeight="1" x14ac:dyDescent="0.3">
      <c r="F1037" s="46" t="str">
        <f xml:space="preserve"> Inputs!E$287</f>
        <v>Vermeden virgin granulaatproductie, hernieuwbare energie, water</v>
      </c>
      <c r="G1037" s="46">
        <f xml:space="preserve"> Inputs!F$287</f>
        <v>0.50136999999999998</v>
      </c>
      <c r="H1037" s="46" t="str">
        <f xml:space="preserve"> Inputs!G$287</f>
        <v>MJ-eq / kg</v>
      </c>
    </row>
    <row r="1038" spans="3:8" ht="13.95" customHeight="1" x14ac:dyDescent="0.3">
      <c r="F1038" s="46" t="str">
        <f xml:space="preserve"> Inputs!E$288</f>
        <v>Vermeden virgin granulaatproductie, hernieuwbare energie, wind</v>
      </c>
      <c r="G1038" s="46">
        <f xml:space="preserve"> Inputs!F$288</f>
        <v>9.9664000000000003E-2</v>
      </c>
      <c r="H1038" s="46" t="str">
        <f xml:space="preserve"> Inputs!G$288</f>
        <v>MJ-eq / kg</v>
      </c>
    </row>
    <row r="1039" spans="3:8" ht="1.95" customHeight="1" x14ac:dyDescent="0.3">
      <c r="F1039" s="46"/>
      <c r="G1039" s="46"/>
      <c r="H1039" s="46"/>
    </row>
    <row r="1040" spans="3:8" ht="13.95" customHeight="1" x14ac:dyDescent="0.3">
      <c r="F1040" s="46" t="str">
        <f xml:space="preserve"> Inputs!E$290</f>
        <v>Vermeden virgin granulaatproductie, niet-hernieuwbare energie, fossiel</v>
      </c>
      <c r="G1040" s="46">
        <f xml:space="preserve"> Inputs!F$290</f>
        <v>74.855000000000004</v>
      </c>
      <c r="H1040" s="46" t="str">
        <f xml:space="preserve"> Inputs!G$290</f>
        <v>MJ-eq / kg</v>
      </c>
    </row>
    <row r="1041" spans="6:8" ht="13.95" customHeight="1" x14ac:dyDescent="0.3">
      <c r="F1041" s="46" t="str">
        <f xml:space="preserve"> Inputs!E$291</f>
        <v>Vermeden virgin granulaatproductie, niet-hernieuwbare energie, nucleair</v>
      </c>
      <c r="G1041" s="46">
        <f xml:space="preserve"> Inputs!F$291</f>
        <v>2.5363000000000002</v>
      </c>
      <c r="H1041" s="46" t="str">
        <f xml:space="preserve"> Inputs!G$291</f>
        <v>MJ-eq / kg</v>
      </c>
    </row>
    <row r="1042" spans="6:8" ht="13.95" customHeight="1" x14ac:dyDescent="0.3">
      <c r="F1042" s="46" t="str">
        <f xml:space="preserve"> Inputs!E$292</f>
        <v>Vermeden virgin granulaatproductie, niet-hernieuwbare energie, oerbos</v>
      </c>
      <c r="G1042" s="46">
        <f xml:space="preserve"> Inputs!F$292</f>
        <v>5.7304999999999997E-4</v>
      </c>
      <c r="H1042" s="46" t="str">
        <f xml:space="preserve"> Inputs!G$292</f>
        <v>MJ-eq / kg</v>
      </c>
    </row>
    <row r="1043" spans="6:8" ht="1.95" customHeight="1" x14ac:dyDescent="0.3">
      <c r="F1043" s="46"/>
      <c r="G1043" s="46"/>
      <c r="H1043" s="46"/>
    </row>
    <row r="1044" spans="6:8" ht="13.95" customHeight="1" x14ac:dyDescent="0.3">
      <c r="F1044" s="46" t="str">
        <f xml:space="preserve"> Inputs!E$294</f>
        <v>Vermeden virgin granulaatproductie, water</v>
      </c>
      <c r="G1044" s="46">
        <f xml:space="preserve"> Inputs!F$294</f>
        <v>6.8741000000000002E-3</v>
      </c>
      <c r="H1044" s="46" t="str">
        <f xml:space="preserve"> Inputs!G$294</f>
        <v>m3 / kg</v>
      </c>
    </row>
    <row r="1045" spans="6:8" ht="1.95" customHeight="1" x14ac:dyDescent="0.3">
      <c r="F1045" s="46"/>
      <c r="G1045" s="46"/>
      <c r="H1045" s="46"/>
    </row>
    <row r="1046" spans="6:8" ht="13.95" customHeight="1" x14ac:dyDescent="0.3">
      <c r="F1046" s="46" t="str">
        <f xml:space="preserve"> Inputs!E$296</f>
        <v>Vermeden virgin granulaatproductie, GWP100</v>
      </c>
      <c r="G1046" s="46">
        <f xml:space="preserve"> Inputs!F$296</f>
        <v>2.2652000000000001</v>
      </c>
      <c r="H1046" s="46" t="str">
        <f xml:space="preserve"> Inputs!G$296</f>
        <v>kg CO2-eq / kg</v>
      </c>
    </row>
    <row r="1047" spans="6:8" ht="13.95" customHeight="1" x14ac:dyDescent="0.3"/>
    <row r="1048" spans="6:8" ht="13.95" customHeight="1" x14ac:dyDescent="0.3">
      <c r="F1048" s="46" t="str">
        <f xml:space="preserve"> Inputs!E$298</f>
        <v>Recycled granulaatproductie, hernieuwbare energie, biomassa</v>
      </c>
      <c r="G1048" s="46">
        <f xml:space="preserve"> Inputs!F$298</f>
        <v>0.64571000000000001</v>
      </c>
      <c r="H1048" s="46" t="str">
        <f xml:space="preserve"> Inputs!G$298</f>
        <v>MJ-eq / kg</v>
      </c>
    </row>
    <row r="1049" spans="6:8" ht="13.95" customHeight="1" x14ac:dyDescent="0.3">
      <c r="F1049" s="46" t="str">
        <f xml:space="preserve"> Inputs!E$299</f>
        <v>Recycled granulaatproductie, hernieuwbare energie, geothermie</v>
      </c>
      <c r="G1049" s="46">
        <f xml:space="preserve"> Inputs!F$299</f>
        <v>1.5873000000000002E-2</v>
      </c>
      <c r="H1049" s="46" t="str">
        <f xml:space="preserve"> Inputs!G$299</f>
        <v>MJ-eq / kg</v>
      </c>
    </row>
    <row r="1050" spans="6:8" ht="13.95" customHeight="1" x14ac:dyDescent="0.3">
      <c r="F1050" s="46" t="str">
        <f xml:space="preserve"> Inputs!E$300</f>
        <v>Recycled granulaatproductie, hernieuwbare energie, zon</v>
      </c>
      <c r="G1050" s="46">
        <f xml:space="preserve"> Inputs!F$300</f>
        <v>0.10088</v>
      </c>
      <c r="H1050" s="46" t="str">
        <f xml:space="preserve"> Inputs!G$300</f>
        <v>MJ-eq / kg</v>
      </c>
    </row>
    <row r="1051" spans="6:8" ht="13.95" customHeight="1" x14ac:dyDescent="0.3">
      <c r="F1051" s="46" t="str">
        <f xml:space="preserve"> Inputs!E$301</f>
        <v>Recycled granulaatproductie, hernieuwbare energie, water</v>
      </c>
      <c r="G1051" s="46">
        <f xml:space="preserve"> Inputs!F$301</f>
        <v>0.57150999999999996</v>
      </c>
      <c r="H1051" s="46" t="str">
        <f xml:space="preserve"> Inputs!G$301</f>
        <v>MJ-eq / kg</v>
      </c>
    </row>
    <row r="1052" spans="6:8" ht="13.95" customHeight="1" x14ac:dyDescent="0.3">
      <c r="F1052" s="46" t="str">
        <f xml:space="preserve"> Inputs!E$302</f>
        <v>Recycled granulaatproductie, hernieuwbare energie, wind</v>
      </c>
      <c r="G1052" s="46">
        <f xml:space="preserve"> Inputs!F$302</f>
        <v>0.21243999999999999</v>
      </c>
      <c r="H1052" s="46" t="str">
        <f xml:space="preserve"> Inputs!G$302</f>
        <v>MJ-eq / kg</v>
      </c>
    </row>
    <row r="1053" spans="6:8" ht="1.95" customHeight="1" x14ac:dyDescent="0.3">
      <c r="F1053" s="46"/>
      <c r="G1053" s="46"/>
      <c r="H1053" s="46"/>
    </row>
    <row r="1054" spans="6:8" ht="13.95" customHeight="1" x14ac:dyDescent="0.3">
      <c r="F1054" s="46" t="str">
        <f xml:space="preserve"> Inputs!E$304</f>
        <v>Recycled granulaatproductie, niet-hernieuwbare energie, fossiel</v>
      </c>
      <c r="G1054" s="46">
        <f xml:space="preserve"> Inputs!F$304</f>
        <v>6.2297000000000002</v>
      </c>
      <c r="H1054" s="46" t="str">
        <f xml:space="preserve"> Inputs!G$304</f>
        <v>MJ-eq / kg</v>
      </c>
    </row>
    <row r="1055" spans="6:8" ht="13.95" customHeight="1" x14ac:dyDescent="0.3">
      <c r="F1055" s="46" t="str">
        <f xml:space="preserve"> Inputs!E$305</f>
        <v>Recycled granulaatproductie, niet-hernieuwbare energie, nucleair</v>
      </c>
      <c r="G1055" s="46">
        <f xml:space="preserve"> Inputs!F$305</f>
        <v>2.3791000000000002</v>
      </c>
      <c r="H1055" s="46" t="str">
        <f xml:space="preserve"> Inputs!G$305</f>
        <v>MJ-eq / kg</v>
      </c>
    </row>
    <row r="1056" spans="6:8" ht="13.95" customHeight="1" x14ac:dyDescent="0.3">
      <c r="F1056" s="46" t="str">
        <f xml:space="preserve"> Inputs!E$306</f>
        <v>Recycled granulaatproductie, niet-hernieuwbare energie, oerbos</v>
      </c>
      <c r="G1056" s="46">
        <f xml:space="preserve"> Inputs!F$306</f>
        <v>5.0013000000000002E-2</v>
      </c>
      <c r="H1056" s="46" t="str">
        <f xml:space="preserve"> Inputs!G$306</f>
        <v>MJ-eq / kg</v>
      </c>
    </row>
    <row r="1057" spans="6:8" ht="1.95" customHeight="1" x14ac:dyDescent="0.3">
      <c r="F1057" s="46"/>
      <c r="G1057" s="46"/>
      <c r="H1057" s="46"/>
    </row>
    <row r="1058" spans="6:8" ht="13.95" customHeight="1" x14ac:dyDescent="0.3">
      <c r="F1058" s="46" t="str">
        <f xml:space="preserve"> Inputs!E$308</f>
        <v>Recycled granulaatproductie, water</v>
      </c>
      <c r="G1058" s="46">
        <f xml:space="preserve"> Inputs!F$308</f>
        <v>1.3717E-2</v>
      </c>
      <c r="H1058" s="46" t="str">
        <f xml:space="preserve"> Inputs!G$308</f>
        <v>m3 / kg</v>
      </c>
    </row>
    <row r="1059" spans="6:8" ht="1.95" customHeight="1" x14ac:dyDescent="0.3">
      <c r="F1059" s="46"/>
      <c r="G1059" s="46"/>
      <c r="H1059" s="46"/>
    </row>
    <row r="1060" spans="6:8" ht="13.95" customHeight="1" x14ac:dyDescent="0.3">
      <c r="F1060" s="46" t="str">
        <f xml:space="preserve"> Inputs!E$310</f>
        <v>Recycled granulaatproductie, GWP100</v>
      </c>
      <c r="G1060" s="46">
        <f xml:space="preserve"> Inputs!F$310</f>
        <v>0.70862000000000003</v>
      </c>
      <c r="H1060" s="46" t="str">
        <f xml:space="preserve"> Inputs!G$310</f>
        <v>kg CO2-eq / kg</v>
      </c>
    </row>
    <row r="1061" spans="6:8" ht="13.95" customHeight="1" x14ac:dyDescent="0.3"/>
    <row r="1062" spans="6:8" ht="13.95" customHeight="1" x14ac:dyDescent="0.3">
      <c r="F1062" t="s">
        <v>706</v>
      </c>
      <c r="G1062">
        <f>G1048-G1034</f>
        <v>0.29053000000000001</v>
      </c>
      <c r="H1062" t="s">
        <v>473</v>
      </c>
    </row>
    <row r="1063" spans="6:8" ht="13.95" customHeight="1" x14ac:dyDescent="0.3">
      <c r="F1063" t="s">
        <v>707</v>
      </c>
      <c r="G1063">
        <f t="shared" ref="G1063:G1074" si="28">G1049-G1035</f>
        <v>2.2960000000000012E-3</v>
      </c>
      <c r="H1063" t="s">
        <v>473</v>
      </c>
    </row>
    <row r="1064" spans="6:8" ht="13.95" customHeight="1" x14ac:dyDescent="0.3">
      <c r="F1064" t="s">
        <v>708</v>
      </c>
      <c r="G1064">
        <f t="shared" si="28"/>
        <v>0.10009050999999999</v>
      </c>
      <c r="H1064" t="s">
        <v>473</v>
      </c>
    </row>
    <row r="1065" spans="6:8" ht="13.95" customHeight="1" x14ac:dyDescent="0.3">
      <c r="F1065" t="s">
        <v>709</v>
      </c>
      <c r="G1065">
        <f t="shared" si="28"/>
        <v>7.013999999999998E-2</v>
      </c>
      <c r="H1065" t="s">
        <v>473</v>
      </c>
    </row>
    <row r="1066" spans="6:8" ht="13.95" customHeight="1" x14ac:dyDescent="0.3">
      <c r="F1066" t="s">
        <v>710</v>
      </c>
      <c r="G1066">
        <f t="shared" si="28"/>
        <v>0.11277599999999999</v>
      </c>
      <c r="H1066" t="s">
        <v>473</v>
      </c>
    </row>
    <row r="1067" spans="6:8" ht="1.95" customHeight="1" x14ac:dyDescent="0.3">
      <c r="G1067">
        <f t="shared" si="28"/>
        <v>0</v>
      </c>
    </row>
    <row r="1068" spans="6:8" ht="13.95" customHeight="1" x14ac:dyDescent="0.3">
      <c r="F1068" t="s">
        <v>711</v>
      </c>
      <c r="G1068">
        <f t="shared" si="28"/>
        <v>-68.62530000000001</v>
      </c>
      <c r="H1068" t="s">
        <v>473</v>
      </c>
    </row>
    <row r="1069" spans="6:8" ht="13.95" customHeight="1" x14ac:dyDescent="0.3">
      <c r="F1069" t="s">
        <v>712</v>
      </c>
      <c r="G1069">
        <f t="shared" si="28"/>
        <v>-0.15720000000000001</v>
      </c>
      <c r="H1069" t="s">
        <v>473</v>
      </c>
    </row>
    <row r="1070" spans="6:8" ht="13.95" customHeight="1" x14ac:dyDescent="0.3">
      <c r="F1070" t="s">
        <v>713</v>
      </c>
      <c r="G1070">
        <f t="shared" si="28"/>
        <v>4.9439950000000003E-2</v>
      </c>
      <c r="H1070" t="s">
        <v>473</v>
      </c>
    </row>
    <row r="1071" spans="6:8" ht="1.95" customHeight="1" x14ac:dyDescent="0.3">
      <c r="G1071">
        <f t="shared" si="28"/>
        <v>0</v>
      </c>
    </row>
    <row r="1072" spans="6:8" ht="13.95" customHeight="1" x14ac:dyDescent="0.3">
      <c r="F1072" t="s">
        <v>714</v>
      </c>
      <c r="G1072">
        <f t="shared" si="28"/>
        <v>6.8428999999999999E-3</v>
      </c>
      <c r="H1072" t="s">
        <v>474</v>
      </c>
    </row>
    <row r="1073" spans="4:11" ht="1.95" customHeight="1" x14ac:dyDescent="0.3">
      <c r="G1073">
        <f t="shared" si="28"/>
        <v>0</v>
      </c>
    </row>
    <row r="1074" spans="4:11" ht="13.95" customHeight="1" x14ac:dyDescent="0.3">
      <c r="F1074" t="s">
        <v>715</v>
      </c>
      <c r="G1074">
        <f t="shared" si="28"/>
        <v>-1.5565800000000001</v>
      </c>
      <c r="H1074" t="s">
        <v>475</v>
      </c>
    </row>
    <row r="1075" spans="4:11" ht="13.95" customHeight="1" x14ac:dyDescent="0.3"/>
    <row r="1076" spans="4:11" ht="13.95" customHeight="1" x14ac:dyDescent="0.3">
      <c r="F1076" s="68" t="s">
        <v>716</v>
      </c>
      <c r="G1076" s="75">
        <f>SUM(G1062:G1066)</f>
        <v>0.57583251000000002</v>
      </c>
      <c r="H1076" s="68" t="s">
        <v>473</v>
      </c>
    </row>
    <row r="1077" spans="4:11" ht="13.95" customHeight="1" x14ac:dyDescent="0.3">
      <c r="F1077" s="68" t="s">
        <v>717</v>
      </c>
      <c r="G1077" s="75">
        <f>SUM(G1068:G1070)</f>
        <v>-68.73306005000002</v>
      </c>
      <c r="H1077" s="68" t="s">
        <v>473</v>
      </c>
      <c r="K1077" t="s">
        <v>705</v>
      </c>
    </row>
    <row r="1078" spans="4:11" ht="13.95" customHeight="1" x14ac:dyDescent="0.3">
      <c r="F1078" s="68" t="s">
        <v>718</v>
      </c>
      <c r="G1078" s="75">
        <f>G1072</f>
        <v>6.8428999999999999E-3</v>
      </c>
      <c r="H1078" s="68" t="s">
        <v>474</v>
      </c>
    </row>
    <row r="1079" spans="4:11" ht="13.95" customHeight="1" x14ac:dyDescent="0.3">
      <c r="F1079" s="68" t="s">
        <v>719</v>
      </c>
      <c r="G1079" s="75">
        <f>G1074</f>
        <v>-1.5565800000000001</v>
      </c>
      <c r="H1079" s="68" t="s">
        <v>475</v>
      </c>
      <c r="K1079" t="s">
        <v>705</v>
      </c>
    </row>
    <row r="1080" spans="4:11" ht="1.95" customHeight="1" x14ac:dyDescent="0.3"/>
    <row r="1081" spans="4:11" ht="13.95" customHeight="1" x14ac:dyDescent="0.3">
      <c r="F1081" s="64" t="str">
        <f xml:space="preserve"> F$846</f>
        <v>Overgebleven gewicht recycled, na uitval, plastic</v>
      </c>
      <c r="G1081" s="67">
        <f xml:space="preserve"> G$846</f>
        <v>1691.8512000000001</v>
      </c>
      <c r="H1081" s="64" t="str">
        <f xml:space="preserve"> H$846</f>
        <v xml:space="preserve">kg / jaar </v>
      </c>
    </row>
    <row r="1082" spans="4:11" ht="1.95" customHeight="1" x14ac:dyDescent="0.3"/>
    <row r="1083" spans="4:11" ht="13.95" customHeight="1" x14ac:dyDescent="0.3">
      <c r="F1083" s="68" t="s">
        <v>720</v>
      </c>
      <c r="G1083" s="73">
        <f>G1076*$G$1081</f>
        <v>974.22292304251209</v>
      </c>
      <c r="H1083" s="64" t="str">
        <f xml:space="preserve"> H$710</f>
        <v>MJ-eq</v>
      </c>
    </row>
    <row r="1084" spans="4:11" ht="13.95" customHeight="1" x14ac:dyDescent="0.3">
      <c r="F1084" s="68" t="s">
        <v>721</v>
      </c>
      <c r="G1084" s="73">
        <f t="shared" ref="G1084:G1086" si="29">G1077*$G$1081</f>
        <v>-116286.1101252646</v>
      </c>
      <c r="H1084" s="64" t="str">
        <f xml:space="preserve"> H$711</f>
        <v>MJ-eq</v>
      </c>
    </row>
    <row r="1085" spans="4:11" ht="13.95" customHeight="1" x14ac:dyDescent="0.3">
      <c r="F1085" s="68" t="s">
        <v>722</v>
      </c>
      <c r="G1085" s="73">
        <f t="shared" si="29"/>
        <v>11.57716857648</v>
      </c>
      <c r="H1085" s="64" t="str">
        <f xml:space="preserve"> H$712</f>
        <v>m3</v>
      </c>
    </row>
    <row r="1086" spans="4:11" ht="13.95" customHeight="1" x14ac:dyDescent="0.3">
      <c r="F1086" s="68" t="s">
        <v>723</v>
      </c>
      <c r="G1086" s="73">
        <f t="shared" si="29"/>
        <v>-2633.5017408960002</v>
      </c>
      <c r="H1086" s="64" t="str">
        <f xml:space="preserve"> H$713</f>
        <v>kg CO2-eq</v>
      </c>
    </row>
    <row r="1087" spans="4:11" ht="13.95" customHeight="1" x14ac:dyDescent="0.3"/>
    <row r="1088" spans="4:11" ht="13.95" customHeight="1" x14ac:dyDescent="0.3">
      <c r="D1088" t="s">
        <v>725</v>
      </c>
    </row>
    <row r="1089" spans="5:8" ht="13.95" customHeight="1" x14ac:dyDescent="0.3">
      <c r="E1089" s="53" t="s">
        <v>728</v>
      </c>
    </row>
    <row r="1090" spans="5:8" ht="13.95" customHeight="1" x14ac:dyDescent="0.3">
      <c r="F1090" s="46" t="str">
        <f xml:space="preserve"> Inputs!E$332</f>
        <v>Verbranding, plastic, hernieuwbare energie, biomassa</v>
      </c>
      <c r="G1090" s="46">
        <f xml:space="preserve"> Inputs!F$332</f>
        <v>5.9201000000000002E-3</v>
      </c>
      <c r="H1090" s="46" t="str">
        <f xml:space="preserve"> Inputs!G$332</f>
        <v>MJ-eq / kg</v>
      </c>
    </row>
    <row r="1091" spans="5:8" ht="13.95" customHeight="1" x14ac:dyDescent="0.3">
      <c r="F1091" s="46" t="str">
        <f xml:space="preserve"> Inputs!E$333</f>
        <v>Verbranding, plastic, hernieuwbare energie, geothermie</v>
      </c>
      <c r="G1091" s="46">
        <f xml:space="preserve"> Inputs!F$333</f>
        <v>2.2561E-4</v>
      </c>
      <c r="H1091" s="46" t="str">
        <f xml:space="preserve"> Inputs!G$333</f>
        <v>MJ-eq / kg</v>
      </c>
    </row>
    <row r="1092" spans="5:8" ht="13.95" customHeight="1" x14ac:dyDescent="0.3">
      <c r="F1092" s="46" t="str">
        <f xml:space="preserve"> Inputs!E$334</f>
        <v>Verbranding, plastic, hernieuwbare energie, zon</v>
      </c>
      <c r="G1092" s="46">
        <f xml:space="preserve"> Inputs!F$334</f>
        <v>2.0874999999999999E-5</v>
      </c>
      <c r="H1092" s="46" t="str">
        <f xml:space="preserve"> Inputs!G$334</f>
        <v>MJ-eq / kg</v>
      </c>
    </row>
    <row r="1093" spans="5:8" ht="13.95" customHeight="1" x14ac:dyDescent="0.3">
      <c r="F1093" s="46" t="str">
        <f xml:space="preserve"> Inputs!E$335</f>
        <v>Verbranding, plastic, hernieuwbare energie, water</v>
      </c>
      <c r="G1093" s="46">
        <f xml:space="preserve"> Inputs!F$335</f>
        <v>9.2981000000000001E-3</v>
      </c>
      <c r="H1093" s="46" t="str">
        <f xml:space="preserve"> Inputs!G$335</f>
        <v>MJ-eq / kg</v>
      </c>
    </row>
    <row r="1094" spans="5:8" ht="13.95" customHeight="1" x14ac:dyDescent="0.3">
      <c r="F1094" s="46" t="str">
        <f xml:space="preserve"> Inputs!E$336</f>
        <v>Verbranding, plastic, hernieuwbare energie, wind</v>
      </c>
      <c r="G1094" s="46">
        <f xml:space="preserve"> Inputs!F$336</f>
        <v>1.4995E-3</v>
      </c>
      <c r="H1094" s="46" t="str">
        <f xml:space="preserve"> Inputs!G$336</f>
        <v>MJ-eq / kg</v>
      </c>
    </row>
    <row r="1095" spans="5:8" ht="1.95" customHeight="1" x14ac:dyDescent="0.3">
      <c r="F1095" s="46"/>
      <c r="G1095" s="46"/>
      <c r="H1095" s="46"/>
    </row>
    <row r="1096" spans="5:8" ht="13.95" customHeight="1" x14ac:dyDescent="0.3">
      <c r="F1096" s="46" t="str">
        <f xml:space="preserve"> Inputs!E$338</f>
        <v>Verbranding, plastic, niet-hernieuwbare energie, fossiel</v>
      </c>
      <c r="G1096" s="46">
        <f xml:space="preserve"> Inputs!F$338</f>
        <v>0.45071</v>
      </c>
      <c r="H1096" s="46" t="str">
        <f xml:space="preserve"> Inputs!G$338</f>
        <v>MJ-eq / kg</v>
      </c>
    </row>
    <row r="1097" spans="5:8" ht="13.95" customHeight="1" x14ac:dyDescent="0.3">
      <c r="F1097" s="46" t="str">
        <f xml:space="preserve"> Inputs!E$339</f>
        <v>Verbranding, plastic, niet-hernieuwbare energie, nucleair</v>
      </c>
      <c r="G1097" s="46">
        <f xml:space="preserve"> Inputs!F$339</f>
        <v>1.4777999999999999E-2</v>
      </c>
      <c r="H1097" s="46" t="str">
        <f xml:space="preserve"> Inputs!G$339</f>
        <v>MJ-eq / kg</v>
      </c>
    </row>
    <row r="1098" spans="5:8" ht="13.95" customHeight="1" x14ac:dyDescent="0.3">
      <c r="F1098" s="46" t="str">
        <f xml:space="preserve"> Inputs!E$340</f>
        <v>Verbranding, plastic, niet-hernieuwbare energie, oerbos</v>
      </c>
      <c r="G1098" s="46">
        <f xml:space="preserve"> Inputs!F$340</f>
        <v>1.4925E-5</v>
      </c>
      <c r="H1098" s="46" t="str">
        <f xml:space="preserve"> Inputs!G$340</f>
        <v>MJ-eq / kg</v>
      </c>
    </row>
    <row r="1099" spans="5:8" ht="1.95" customHeight="1" x14ac:dyDescent="0.3">
      <c r="F1099" s="46"/>
      <c r="G1099" s="46"/>
      <c r="H1099" s="46"/>
    </row>
    <row r="1100" spans="5:8" ht="13.95" customHeight="1" x14ac:dyDescent="0.3">
      <c r="F1100" s="46" t="str">
        <f xml:space="preserve"> Inputs!E$342</f>
        <v>Verbranding, plastic, water</v>
      </c>
      <c r="G1100" s="46">
        <f xml:space="preserve"> Inputs!F$342</f>
        <v>3.9680999999999996E-3</v>
      </c>
      <c r="H1100" s="46" t="str">
        <f xml:space="preserve"> Inputs!G$342</f>
        <v>m3 / kg</v>
      </c>
    </row>
    <row r="1101" spans="5:8" ht="1.95" customHeight="1" x14ac:dyDescent="0.3">
      <c r="F1101" s="46"/>
      <c r="G1101" s="46"/>
      <c r="H1101" s="46"/>
    </row>
    <row r="1102" spans="5:8" ht="13.95" customHeight="1" x14ac:dyDescent="0.3">
      <c r="F1102" s="46" t="str">
        <f xml:space="preserve"> Inputs!E$344</f>
        <v>Verbranding, plastic, GWP100</v>
      </c>
      <c r="G1102" s="46">
        <f xml:space="preserve"> Inputs!F$344</f>
        <v>2.3748999999999998</v>
      </c>
      <c r="H1102" s="46" t="str">
        <f xml:space="preserve"> Inputs!G$344</f>
        <v>kg CO2-eq / kg</v>
      </c>
    </row>
    <row r="1103" spans="5:8" ht="13.95" customHeight="1" x14ac:dyDescent="0.3"/>
    <row r="1104" spans="5:8" ht="13.95" customHeight="1" x14ac:dyDescent="0.3">
      <c r="F1104" s="68" t="s">
        <v>726</v>
      </c>
      <c r="G1104" s="75">
        <f>SUM(G1090:G1094)</f>
        <v>1.6964185E-2</v>
      </c>
      <c r="H1104" s="68" t="s">
        <v>473</v>
      </c>
    </row>
    <row r="1105" spans="5:8" ht="13.95" customHeight="1" x14ac:dyDescent="0.3">
      <c r="F1105" s="68" t="s">
        <v>727</v>
      </c>
      <c r="G1105" s="75">
        <f>SUM(G1096:G1098)</f>
        <v>0.46550292500000001</v>
      </c>
      <c r="H1105" s="68" t="s">
        <v>473</v>
      </c>
    </row>
    <row r="1106" spans="5:8" ht="13.95" customHeight="1" x14ac:dyDescent="0.3">
      <c r="F1106" s="68" t="s">
        <v>603</v>
      </c>
      <c r="G1106" s="75">
        <f>G1100</f>
        <v>3.9680999999999996E-3</v>
      </c>
      <c r="H1106" s="68" t="s">
        <v>474</v>
      </c>
    </row>
    <row r="1107" spans="5:8" ht="13.95" customHeight="1" x14ac:dyDescent="0.3">
      <c r="F1107" s="68" t="s">
        <v>604</v>
      </c>
      <c r="G1107" s="75">
        <f>G1102</f>
        <v>2.3748999999999998</v>
      </c>
      <c r="H1107" s="68" t="s">
        <v>475</v>
      </c>
    </row>
    <row r="1108" spans="5:8" ht="1.95" customHeight="1" x14ac:dyDescent="0.3"/>
    <row r="1109" spans="5:8" ht="13.95" customHeight="1" x14ac:dyDescent="0.3">
      <c r="F1109" s="64" t="str">
        <f xml:space="preserve"> F$843</f>
        <v>Jaarlijkse gewicht plastic, restafval</v>
      </c>
      <c r="G1109" s="67">
        <f xml:space="preserve"> G$843</f>
        <v>1187.2639999999999</v>
      </c>
      <c r="H1109" s="64" t="str">
        <f xml:space="preserve"> H$843</f>
        <v xml:space="preserve">kg / jaar </v>
      </c>
    </row>
    <row r="1110" spans="5:8" ht="1.95" customHeight="1" x14ac:dyDescent="0.3"/>
    <row r="1111" spans="5:8" ht="13.95" customHeight="1" x14ac:dyDescent="0.3">
      <c r="F1111" s="68" t="s">
        <v>759</v>
      </c>
      <c r="G1111" s="73">
        <f>G1104*$G$1109</f>
        <v>20.140966139839996</v>
      </c>
      <c r="H1111" s="64" t="str">
        <f xml:space="preserve"> H$710</f>
        <v>MJ-eq</v>
      </c>
    </row>
    <row r="1112" spans="5:8" ht="13.95" customHeight="1" x14ac:dyDescent="0.3">
      <c r="F1112" s="68" t="s">
        <v>760</v>
      </c>
      <c r="G1112" s="73">
        <f t="shared" ref="G1112:G1114" si="30">G1105*$G$1109</f>
        <v>552.67486474719999</v>
      </c>
      <c r="H1112" s="64" t="str">
        <f xml:space="preserve"> H$711</f>
        <v>MJ-eq</v>
      </c>
    </row>
    <row r="1113" spans="5:8" ht="13.95" customHeight="1" x14ac:dyDescent="0.3">
      <c r="F1113" s="68" t="s">
        <v>761</v>
      </c>
      <c r="G1113" s="73">
        <f t="shared" si="30"/>
        <v>4.711182278399999</v>
      </c>
      <c r="H1113" s="64" t="str">
        <f xml:space="preserve"> H$712</f>
        <v>m3</v>
      </c>
    </row>
    <row r="1114" spans="5:8" ht="13.95" customHeight="1" x14ac:dyDescent="0.3">
      <c r="F1114" s="68" t="s">
        <v>762</v>
      </c>
      <c r="G1114" s="73">
        <f t="shared" si="30"/>
        <v>2819.6332735999995</v>
      </c>
      <c r="H1114" s="64" t="str">
        <f xml:space="preserve"> H$713</f>
        <v>kg CO2-eq</v>
      </c>
    </row>
    <row r="1115" spans="5:8" ht="13.95" customHeight="1" x14ac:dyDescent="0.3"/>
    <row r="1116" spans="5:8" ht="13.95" customHeight="1" x14ac:dyDescent="0.3">
      <c r="E1116" s="53" t="s">
        <v>729</v>
      </c>
    </row>
    <row r="1117" spans="5:8" ht="13.95" customHeight="1" x14ac:dyDescent="0.3">
      <c r="F1117" s="64" t="str">
        <f xml:space="preserve"> F$847</f>
        <v>Totaalgewicht restafval, incl. uitval, plastic</v>
      </c>
      <c r="G1117" s="67">
        <f xml:space="preserve"> G$847</f>
        <v>1276.3087999999998</v>
      </c>
      <c r="H1117" s="64" t="str">
        <f xml:space="preserve"> H$847</f>
        <v xml:space="preserve">kg / jaar </v>
      </c>
    </row>
    <row r="1118" spans="5:8" ht="1.95" customHeight="1" x14ac:dyDescent="0.3"/>
    <row r="1119" spans="5:8" ht="13.95" customHeight="1" x14ac:dyDescent="0.3">
      <c r="F1119" s="46" t="str">
        <f xml:space="preserve"> Inputs!E$346</f>
        <v>Elektriciteitsproductie, verbranding plastic</v>
      </c>
      <c r="G1119" s="46">
        <f xml:space="preserve"> Inputs!F$346</f>
        <v>3.92</v>
      </c>
      <c r="H1119" s="46" t="str">
        <f xml:space="preserve"> Inputs!G$346</f>
        <v>MJ / kg</v>
      </c>
    </row>
    <row r="1120" spans="5:8" ht="13.95" customHeight="1" x14ac:dyDescent="0.3">
      <c r="F1120" s="46" t="str">
        <f xml:space="preserve"> Inputs!E$347</f>
        <v>Warmteproductie, verbranding plastic</v>
      </c>
      <c r="G1120" s="46">
        <f xml:space="preserve"> Inputs!F$347</f>
        <v>7.66</v>
      </c>
      <c r="H1120" s="46" t="str">
        <f xml:space="preserve"> Inputs!G$347</f>
        <v>MJ / kg</v>
      </c>
    </row>
    <row r="1121" spans="6:8" ht="1.95" customHeight="1" x14ac:dyDescent="0.3">
      <c r="F1121" s="46"/>
      <c r="G1121" s="46"/>
      <c r="H1121" s="46"/>
    </row>
    <row r="1122" spans="6:8" ht="13.95" customHeight="1" x14ac:dyDescent="0.3">
      <c r="F1122" s="46" t="str">
        <f xml:space="preserve"> Inputs!E$12</f>
        <v>Conversie MJ naar kwh</v>
      </c>
      <c r="G1122" s="46">
        <f xml:space="preserve"> Inputs!F$12</f>
        <v>0.27777800000000002</v>
      </c>
      <c r="H1122" s="46" t="str">
        <f xml:space="preserve"> Inputs!G$12</f>
        <v>kwh / MJ</v>
      </c>
    </row>
    <row r="1123" spans="6:8" ht="1.95" customHeight="1" x14ac:dyDescent="0.3"/>
    <row r="1124" spans="6:8" ht="13.95" customHeight="1" x14ac:dyDescent="0.3">
      <c r="F1124" t="s">
        <v>730</v>
      </c>
      <c r="G1124" s="94">
        <f>$G$1117*G1119*G1122</f>
        <v>1389.7595829178879</v>
      </c>
      <c r="H1124" t="s">
        <v>1113</v>
      </c>
    </row>
    <row r="1125" spans="6:8" ht="13.95" customHeight="1" x14ac:dyDescent="0.3">
      <c r="F1125" t="s">
        <v>731</v>
      </c>
      <c r="G1125" s="94">
        <f>$G$1117*G1120*G1122</f>
        <v>2715.7036747834236</v>
      </c>
      <c r="H1125" t="s">
        <v>1113</v>
      </c>
    </row>
    <row r="1126" spans="6:8" ht="13.95" customHeight="1" x14ac:dyDescent="0.3"/>
    <row r="1127" spans="6:8" ht="13.95" customHeight="1" x14ac:dyDescent="0.3">
      <c r="F1127" s="46" t="str">
        <f xml:space="preserve"> Inputs!E$350</f>
        <v>Elektriciteitsproductie NL, hernieuwbare energie, biomassa</v>
      </c>
      <c r="G1127" s="46">
        <f xml:space="preserve"> Inputs!F$350</f>
        <v>3.2242999999999999</v>
      </c>
      <c r="H1127" s="46" t="str">
        <f xml:space="preserve"> Inputs!G$350</f>
        <v>MJ-eq / kwh</v>
      </c>
    </row>
    <row r="1128" spans="6:8" ht="13.95" customHeight="1" x14ac:dyDescent="0.3">
      <c r="F1128" s="46" t="str">
        <f xml:space="preserve"> Inputs!E$351</f>
        <v>Elektriciteitsproductie NL, hernieuwbare energie, geothermie</v>
      </c>
      <c r="G1128" s="46">
        <f xml:space="preserve"> Inputs!F$351</f>
        <v>6.3539E-4</v>
      </c>
      <c r="H1128" s="46" t="str">
        <f xml:space="preserve"> Inputs!G$351</f>
        <v>MJ-eq / kwh</v>
      </c>
    </row>
    <row r="1129" spans="6:8" ht="13.95" customHeight="1" x14ac:dyDescent="0.3">
      <c r="F1129" s="46" t="str">
        <f xml:space="preserve"> Inputs!E$352</f>
        <v>Elektriciteitsproductie NL, hernieuwbare energie, zon</v>
      </c>
      <c r="G1129" s="46">
        <f xml:space="preserve"> Inputs!F$352</f>
        <v>2.5720000000000002E-4</v>
      </c>
      <c r="H1129" s="46" t="str">
        <f xml:space="preserve"> Inputs!G$352</f>
        <v>MJ-eq / kwh</v>
      </c>
    </row>
    <row r="1130" spans="6:8" ht="13.95" customHeight="1" x14ac:dyDescent="0.3">
      <c r="F1130" s="46" t="str">
        <f xml:space="preserve"> Inputs!E$353</f>
        <v>Elektriciteitsproductie NL, hernieuwbare energie, water</v>
      </c>
      <c r="G1130" s="46">
        <f xml:space="preserve"> Inputs!F$353</f>
        <v>2.9499000000000001E-2</v>
      </c>
      <c r="H1130" s="46" t="str">
        <f xml:space="preserve"> Inputs!G$353</f>
        <v>MJ-eq / kwh</v>
      </c>
    </row>
    <row r="1131" spans="6:8" ht="13.95" customHeight="1" x14ac:dyDescent="0.3">
      <c r="F1131" s="46" t="str">
        <f xml:space="preserve"> Inputs!E$354</f>
        <v>Elektriciteitsproductie NL, hernieuwbare energie, wind</v>
      </c>
      <c r="G1131" s="46">
        <f xml:space="preserve"> Inputs!F$354</f>
        <v>6.4552999999999998E-3</v>
      </c>
      <c r="H1131" s="46" t="str">
        <f xml:space="preserve"> Inputs!G$354</f>
        <v>MJ-eq / kwh</v>
      </c>
    </row>
    <row r="1132" spans="6:8" ht="1.95" customHeight="1" x14ac:dyDescent="0.3">
      <c r="F1132" s="46"/>
      <c r="G1132" s="46"/>
      <c r="H1132" s="46"/>
    </row>
    <row r="1133" spans="6:8" ht="13.95" customHeight="1" x14ac:dyDescent="0.3">
      <c r="F1133" s="46" t="str">
        <f xml:space="preserve"> Inputs!E$356</f>
        <v>Elektriciteitsproductie NL, niet-hernieuwbare energie, fossiel</v>
      </c>
      <c r="G1133" s="46">
        <f xml:space="preserve"> Inputs!F$356</f>
        <v>15.563000000000001</v>
      </c>
      <c r="H1133" s="46" t="str">
        <f xml:space="preserve"> Inputs!G$356</f>
        <v>MJ-eq / kwh</v>
      </c>
    </row>
    <row r="1134" spans="6:8" ht="13.95" customHeight="1" x14ac:dyDescent="0.3">
      <c r="F1134" s="46" t="str">
        <f xml:space="preserve"> Inputs!E$357</f>
        <v>Elektriciteitsproductie NL, niet-hernieuwbare energie, nucleair</v>
      </c>
      <c r="G1134" s="46">
        <f xml:space="preserve"> Inputs!F$357</f>
        <v>0.26207000000000003</v>
      </c>
      <c r="H1134" s="46" t="str">
        <f xml:space="preserve"> Inputs!G$357</f>
        <v>MJ-eq / kwh</v>
      </c>
    </row>
    <row r="1135" spans="6:8" ht="13.95" customHeight="1" x14ac:dyDescent="0.3">
      <c r="F1135" s="46" t="str">
        <f xml:space="preserve"> Inputs!E$358</f>
        <v>Elektriciteitsproductie NL, niet-hernieuwbare energie, oerbos</v>
      </c>
      <c r="G1135" s="46">
        <f xml:space="preserve"> Inputs!F$358</f>
        <v>2.0896000000000001E-3</v>
      </c>
      <c r="H1135" s="46" t="str">
        <f xml:space="preserve"> Inputs!G$358</f>
        <v>MJ-eq / kwh</v>
      </c>
    </row>
    <row r="1136" spans="6:8" ht="1.95" customHeight="1" x14ac:dyDescent="0.3">
      <c r="F1136" s="46"/>
      <c r="G1136" s="46"/>
      <c r="H1136" s="46"/>
    </row>
    <row r="1137" spans="6:8" ht="13.95" customHeight="1" x14ac:dyDescent="0.3">
      <c r="F1137" s="46" t="str">
        <f xml:space="preserve"> Inputs!E$360</f>
        <v>Elektriciteitsproductie NL, water</v>
      </c>
      <c r="G1137" s="46">
        <f xml:space="preserve"> Inputs!F$360</f>
        <v>1.5888E-3</v>
      </c>
      <c r="H1137" s="46" t="str">
        <f xml:space="preserve"> Inputs!G$360</f>
        <v>m3 / kwh</v>
      </c>
    </row>
    <row r="1138" spans="6:8" ht="1.95" customHeight="1" x14ac:dyDescent="0.3">
      <c r="F1138" s="46"/>
      <c r="G1138" s="46"/>
      <c r="H1138" s="46"/>
    </row>
    <row r="1139" spans="6:8" ht="13.95" customHeight="1" x14ac:dyDescent="0.3">
      <c r="F1139" s="46" t="str">
        <f xml:space="preserve"> Inputs!E$362</f>
        <v>Elektriciteitsproductie NL, GWP100</v>
      </c>
      <c r="G1139" s="46">
        <f xml:space="preserve"> Inputs!F$362</f>
        <v>0.49099999999999999</v>
      </c>
      <c r="H1139" s="46" t="str">
        <f xml:space="preserve"> Inputs!G$362</f>
        <v>kg CO2-eq / kwh</v>
      </c>
    </row>
    <row r="1140" spans="6:8" ht="13.95" customHeight="1" x14ac:dyDescent="0.3"/>
    <row r="1141" spans="6:8" ht="13.95" customHeight="1" x14ac:dyDescent="0.3">
      <c r="F1141" s="68" t="s">
        <v>732</v>
      </c>
      <c r="G1141" s="75">
        <f>SUM(G1127:G1131)</f>
        <v>3.2611468899999996</v>
      </c>
      <c r="H1141" s="68" t="s">
        <v>587</v>
      </c>
    </row>
    <row r="1142" spans="6:8" ht="13.95" customHeight="1" x14ac:dyDescent="0.3">
      <c r="F1142" s="68" t="s">
        <v>733</v>
      </c>
      <c r="G1142" s="75">
        <f>SUM(G1133:G1135)</f>
        <v>15.8271596</v>
      </c>
      <c r="H1142" s="68" t="s">
        <v>587</v>
      </c>
    </row>
    <row r="1143" spans="6:8" ht="13.95" customHeight="1" x14ac:dyDescent="0.3">
      <c r="F1143" s="68" t="s">
        <v>585</v>
      </c>
      <c r="G1143" s="75">
        <f>G1137</f>
        <v>1.5888E-3</v>
      </c>
      <c r="H1143" s="68" t="s">
        <v>588</v>
      </c>
    </row>
    <row r="1144" spans="6:8" ht="13.95" customHeight="1" x14ac:dyDescent="0.3">
      <c r="F1144" s="68" t="s">
        <v>586</v>
      </c>
      <c r="G1144" s="75">
        <f>G1139</f>
        <v>0.49099999999999999</v>
      </c>
      <c r="H1144" s="68" t="s">
        <v>589</v>
      </c>
    </row>
    <row r="1145" spans="6:8" ht="1.95" customHeight="1" x14ac:dyDescent="0.3"/>
    <row r="1146" spans="6:8" ht="13.95" customHeight="1" x14ac:dyDescent="0.3">
      <c r="F1146" s="64" t="str">
        <f xml:space="preserve"> F$1124</f>
        <v>Jaarlijkse elektriciteitsproductie, verbranding plastic</v>
      </c>
      <c r="G1146" s="97">
        <f xml:space="preserve"> G$1124</f>
        <v>1389.7595829178879</v>
      </c>
      <c r="H1146" s="64" t="str">
        <f xml:space="preserve"> H$1124</f>
        <v>kwh / jaar</v>
      </c>
    </row>
    <row r="1147" spans="6:8" ht="1.95" customHeight="1" x14ac:dyDescent="0.3"/>
    <row r="1148" spans="6:8" ht="13.95" customHeight="1" x14ac:dyDescent="0.3">
      <c r="F1148" s="68" t="s">
        <v>734</v>
      </c>
      <c r="G1148" s="66">
        <f>G1141*$G$1146</f>
        <v>4532.2101416803662</v>
      </c>
      <c r="H1148" s="64" t="str">
        <f xml:space="preserve"> H$710</f>
        <v>MJ-eq</v>
      </c>
    </row>
    <row r="1149" spans="6:8" ht="13.95" customHeight="1" x14ac:dyDescent="0.3">
      <c r="F1149" s="68" t="s">
        <v>735</v>
      </c>
      <c r="G1149" s="66">
        <f t="shared" ref="G1149:G1151" si="31">G1142*$G$1146</f>
        <v>21995.946724470847</v>
      </c>
      <c r="H1149" s="64" t="str">
        <f xml:space="preserve"> H$711</f>
        <v>MJ-eq</v>
      </c>
    </row>
    <row r="1150" spans="6:8" ht="13.95" customHeight="1" x14ac:dyDescent="0.3">
      <c r="F1150" s="68" t="s">
        <v>736</v>
      </c>
      <c r="G1150" s="66">
        <f t="shared" si="31"/>
        <v>2.2080500253399404</v>
      </c>
      <c r="H1150" s="64" t="str">
        <f xml:space="preserve"> H$712</f>
        <v>m3</v>
      </c>
    </row>
    <row r="1151" spans="6:8" ht="13.95" customHeight="1" x14ac:dyDescent="0.3">
      <c r="F1151" s="68" t="s">
        <v>737</v>
      </c>
      <c r="G1151" s="66">
        <f t="shared" si="31"/>
        <v>682.37195521268291</v>
      </c>
      <c r="H1151" s="64" t="str">
        <f xml:space="preserve"> H$713</f>
        <v>kg CO2-eq</v>
      </c>
    </row>
    <row r="1152" spans="6:8" ht="13.95" customHeight="1" x14ac:dyDescent="0.3"/>
    <row r="1153" spans="6:8" ht="13.95" customHeight="1" x14ac:dyDescent="0.3">
      <c r="F1153" s="46" t="str">
        <f xml:space="preserve"> Inputs!E$364</f>
        <v>Warmteproductie NL, hernieuwbare energie, biomassa</v>
      </c>
      <c r="G1153" s="79">
        <f xml:space="preserve"> Inputs!F$364</f>
        <v>2.0808E-4</v>
      </c>
      <c r="H1153" s="46" t="str">
        <f xml:space="preserve"> Inputs!G$364</f>
        <v>MJ-eq / kwh</v>
      </c>
    </row>
    <row r="1154" spans="6:8" ht="13.95" customHeight="1" x14ac:dyDescent="0.3">
      <c r="F1154" s="46" t="str">
        <f xml:space="preserve"> Inputs!E$365</f>
        <v>Warmteproductie NL, hernieuwbare energie, geothermie</v>
      </c>
      <c r="G1154" s="79">
        <f xml:space="preserve"> Inputs!F$365</f>
        <v>5.0508E-6</v>
      </c>
      <c r="H1154" s="46" t="str">
        <f xml:space="preserve"> Inputs!G$365</f>
        <v>MJ-eq / kwh</v>
      </c>
    </row>
    <row r="1155" spans="6:8" ht="13.95" customHeight="1" x14ac:dyDescent="0.3">
      <c r="F1155" s="46" t="str">
        <f xml:space="preserve"> Inputs!E$366</f>
        <v>Warmteproductie NL, hernieuwbare energie, zon</v>
      </c>
      <c r="G1155" s="79">
        <f xml:space="preserve"> Inputs!F$366</f>
        <v>3.8564E-7</v>
      </c>
      <c r="H1155" s="46" t="str">
        <f xml:space="preserve"> Inputs!G$366</f>
        <v>MJ-eq / kwh</v>
      </c>
    </row>
    <row r="1156" spans="6:8" ht="13.95" customHeight="1" x14ac:dyDescent="0.3">
      <c r="F1156" s="46" t="str">
        <f xml:space="preserve"> Inputs!E$367</f>
        <v>Warmteproductie NL, hernieuwbare energie, water</v>
      </c>
      <c r="G1156" s="79">
        <f xml:space="preserve"> Inputs!F$367</f>
        <v>3.8290999999999998E-4</v>
      </c>
      <c r="H1156" s="46" t="str">
        <f xml:space="preserve"> Inputs!G$367</f>
        <v>MJ-eq / kwh</v>
      </c>
    </row>
    <row r="1157" spans="6:8" ht="13.95" customHeight="1" x14ac:dyDescent="0.3">
      <c r="F1157" s="46" t="str">
        <f xml:space="preserve"> Inputs!E$368</f>
        <v>Warmteproductie NL, hernieuwbare energie, wind</v>
      </c>
      <c r="G1157" s="79">
        <f xml:space="preserve"> Inputs!F$368</f>
        <v>7.6681000000000007E-5</v>
      </c>
      <c r="H1157" s="46" t="str">
        <f xml:space="preserve"> Inputs!G$368</f>
        <v>MJ-eq / kwh</v>
      </c>
    </row>
    <row r="1158" spans="6:8" ht="1.95" customHeight="1" x14ac:dyDescent="0.3">
      <c r="F1158" s="46"/>
      <c r="G1158" s="79"/>
      <c r="H1158" s="46"/>
    </row>
    <row r="1159" spans="6:8" ht="13.95" customHeight="1" x14ac:dyDescent="0.3">
      <c r="F1159" s="46" t="str">
        <f xml:space="preserve"> Inputs!E$370</f>
        <v>Warmteproductie NL, niet-hernieuwbare energie, fossiel</v>
      </c>
      <c r="G1159" s="79">
        <f xml:space="preserve"> Inputs!F$370</f>
        <v>0.51809000000000005</v>
      </c>
      <c r="H1159" s="46" t="str">
        <f xml:space="preserve"> Inputs!G$370</f>
        <v>MJ-eq / kwh</v>
      </c>
    </row>
    <row r="1160" spans="6:8" ht="13.95" customHeight="1" x14ac:dyDescent="0.3">
      <c r="F1160" s="46" t="str">
        <f xml:space="preserve"> Inputs!E$371</f>
        <v>Warmteproductie NL, niet-hernieuwbare energie, nucleair</v>
      </c>
      <c r="G1160" s="79">
        <f xml:space="preserve"> Inputs!F$371</f>
        <v>5.9409999999999997E-4</v>
      </c>
      <c r="H1160" s="46" t="str">
        <f xml:space="preserve"> Inputs!G$371</f>
        <v>MJ-eq / kwh</v>
      </c>
    </row>
    <row r="1161" spans="6:8" ht="13.95" customHeight="1" x14ac:dyDescent="0.3">
      <c r="F1161" s="46" t="str">
        <f xml:space="preserve"> Inputs!E$372</f>
        <v>Warmteproductie NL, niet-hernieuwbare energie, oerbos</v>
      </c>
      <c r="G1161" s="79">
        <f xml:space="preserve"> Inputs!F$372</f>
        <v>8.5758000000000003E-7</v>
      </c>
      <c r="H1161" s="46" t="str">
        <f xml:space="preserve"> Inputs!G$372</f>
        <v>MJ-eq / kwh</v>
      </c>
    </row>
    <row r="1162" spans="6:8" ht="1.95" customHeight="1" x14ac:dyDescent="0.3">
      <c r="F1162" s="46"/>
      <c r="G1162" s="79"/>
      <c r="H1162" s="46"/>
    </row>
    <row r="1163" spans="6:8" ht="13.95" customHeight="1" x14ac:dyDescent="0.3">
      <c r="F1163" s="46" t="str">
        <f xml:space="preserve"> Inputs!E$374</f>
        <v>Warmteproductie NL, water</v>
      </c>
      <c r="G1163" s="79">
        <f xml:space="preserve"> Inputs!F$374</f>
        <v>9.8060999999999995E-5</v>
      </c>
      <c r="H1163" s="46" t="str">
        <f xml:space="preserve"> Inputs!G$374</f>
        <v>m3 / kwh</v>
      </c>
    </row>
    <row r="1164" spans="6:8" ht="1.95" customHeight="1" x14ac:dyDescent="0.3">
      <c r="F1164" s="46"/>
      <c r="G1164" s="79"/>
      <c r="H1164" s="46"/>
    </row>
    <row r="1165" spans="6:8" ht="13.95" customHeight="1" x14ac:dyDescent="0.3">
      <c r="F1165" s="46" t="str">
        <f xml:space="preserve"> Inputs!E$376</f>
        <v>Warmteproductie NL, GWP100</v>
      </c>
      <c r="G1165" s="79">
        <f xml:space="preserve"> Inputs!F$376</f>
        <v>2.6577E-2</v>
      </c>
      <c r="H1165" s="46" t="str">
        <f xml:space="preserve"> Inputs!G$376</f>
        <v>kg CO2-eq / kwh</v>
      </c>
    </row>
    <row r="1166" spans="6:8" ht="13.95" customHeight="1" x14ac:dyDescent="0.3"/>
    <row r="1167" spans="6:8" ht="13.95" customHeight="1" x14ac:dyDescent="0.3">
      <c r="F1167" s="68" t="s">
        <v>748</v>
      </c>
      <c r="G1167" s="75">
        <f>SUM(G1153:G1157)</f>
        <v>6.7310743999999991E-4</v>
      </c>
      <c r="H1167" s="68" t="s">
        <v>587</v>
      </c>
    </row>
    <row r="1168" spans="6:8" ht="13.95" customHeight="1" x14ac:dyDescent="0.3">
      <c r="F1168" s="68" t="s">
        <v>749</v>
      </c>
      <c r="G1168" s="75">
        <f>SUM(G1159:G1161)</f>
        <v>0.51868495758000011</v>
      </c>
      <c r="H1168" s="68" t="s">
        <v>587</v>
      </c>
    </row>
    <row r="1169" spans="6:8" ht="13.95" customHeight="1" x14ac:dyDescent="0.3">
      <c r="F1169" s="68" t="s">
        <v>746</v>
      </c>
      <c r="G1169" s="75">
        <f>G1163</f>
        <v>9.8060999999999995E-5</v>
      </c>
      <c r="H1169" s="68" t="s">
        <v>588</v>
      </c>
    </row>
    <row r="1170" spans="6:8" ht="13.95" customHeight="1" x14ac:dyDescent="0.3">
      <c r="F1170" s="68" t="s">
        <v>747</v>
      </c>
      <c r="G1170" s="75">
        <f>G1165</f>
        <v>2.6577E-2</v>
      </c>
      <c r="H1170" s="68" t="s">
        <v>589</v>
      </c>
    </row>
    <row r="1171" spans="6:8" ht="1.95" customHeight="1" x14ac:dyDescent="0.3"/>
    <row r="1172" spans="6:8" ht="13.95" customHeight="1" x14ac:dyDescent="0.3">
      <c r="F1172" s="64" t="str">
        <f xml:space="preserve"> F$1125</f>
        <v>Jaarlijkse warmteproductie, verbranding plastic</v>
      </c>
      <c r="G1172" s="97">
        <f xml:space="preserve"> G$1125</f>
        <v>2715.7036747834236</v>
      </c>
      <c r="H1172" s="64" t="str">
        <f xml:space="preserve"> H$1125</f>
        <v>kwh / jaar</v>
      </c>
    </row>
    <row r="1173" spans="6:8" ht="1.95" customHeight="1" x14ac:dyDescent="0.3"/>
    <row r="1174" spans="6:8" ht="13.95" customHeight="1" x14ac:dyDescent="0.3">
      <c r="F1174" s="68" t="s">
        <v>750</v>
      </c>
      <c r="G1174" s="66">
        <f>G1167*$G$1172</f>
        <v>1.8279603483320626</v>
      </c>
      <c r="H1174" s="64" t="str">
        <f xml:space="preserve"> H$710</f>
        <v>MJ-eq</v>
      </c>
    </row>
    <row r="1175" spans="6:8" ht="13.95" customHeight="1" x14ac:dyDescent="0.3">
      <c r="F1175" s="68" t="s">
        <v>751</v>
      </c>
      <c r="G1175" s="66">
        <f t="shared" ref="G1175:G1177" si="32">G1168*$G$1172</f>
        <v>1408.5946453548904</v>
      </c>
      <c r="H1175" s="64" t="str">
        <f xml:space="preserve"> H$711</f>
        <v>MJ-eq</v>
      </c>
    </row>
    <row r="1176" spans="6:8" ht="13.95" customHeight="1" x14ac:dyDescent="0.3">
      <c r="F1176" s="68" t="s">
        <v>752</v>
      </c>
      <c r="G1176" s="66">
        <f t="shared" si="32"/>
        <v>0.26630461805293731</v>
      </c>
      <c r="H1176" s="64" t="str">
        <f xml:space="preserve"> H$712</f>
        <v>m3</v>
      </c>
    </row>
    <row r="1177" spans="6:8" ht="13.95" customHeight="1" x14ac:dyDescent="0.3">
      <c r="F1177" s="68" t="s">
        <v>753</v>
      </c>
      <c r="G1177" s="66">
        <f t="shared" si="32"/>
        <v>72.175256564719049</v>
      </c>
      <c r="H1177" s="64" t="str">
        <f xml:space="preserve"> H$713</f>
        <v>kg CO2-eq</v>
      </c>
    </row>
    <row r="1178" spans="6:8" ht="13.95" customHeight="1" x14ac:dyDescent="0.3"/>
    <row r="1179" spans="6:8" ht="13.95" customHeight="1" x14ac:dyDescent="0.3">
      <c r="F1179" s="64" t="str">
        <f xml:space="preserve"> F$1148</f>
        <v>Totale impact elektriciteitsproductie plasticverbranden, hernieuwbare energie</v>
      </c>
      <c r="G1179" s="67">
        <f xml:space="preserve"> G$1148</f>
        <v>4532.2101416803662</v>
      </c>
      <c r="H1179" s="64" t="str">
        <f xml:space="preserve"> H$1148</f>
        <v>MJ-eq</v>
      </c>
    </row>
    <row r="1180" spans="6:8" ht="13.95" customHeight="1" x14ac:dyDescent="0.3">
      <c r="F1180" s="64" t="str">
        <f xml:space="preserve"> F$1149</f>
        <v>Totale impact elektriciteitsproductie plasticverbranden, niet-hernieuwbare energie</v>
      </c>
      <c r="G1180" s="67">
        <f xml:space="preserve"> G$1149</f>
        <v>21995.946724470847</v>
      </c>
      <c r="H1180" s="64" t="str">
        <f xml:space="preserve"> H$1149</f>
        <v>MJ-eq</v>
      </c>
    </row>
    <row r="1181" spans="6:8" ht="13.95" customHeight="1" x14ac:dyDescent="0.3">
      <c r="F1181" s="64" t="str">
        <f xml:space="preserve"> F$1150</f>
        <v>Totale impact elektriciteitsproductie plasticverbranden, water</v>
      </c>
      <c r="G1181" s="67">
        <f xml:space="preserve"> G$1150</f>
        <v>2.2080500253399404</v>
      </c>
      <c r="H1181" s="64" t="str">
        <f xml:space="preserve"> H$1150</f>
        <v>m3</v>
      </c>
    </row>
    <row r="1182" spans="6:8" ht="13.95" customHeight="1" x14ac:dyDescent="0.3">
      <c r="F1182" s="64" t="str">
        <f xml:space="preserve"> F$1151</f>
        <v>Totale impact elektriciteitsproductie plasticverbranden, GWP100</v>
      </c>
      <c r="G1182" s="67">
        <f xml:space="preserve"> G$1151</f>
        <v>682.37195521268291</v>
      </c>
      <c r="H1182" s="64" t="str">
        <f xml:space="preserve"> H$1151</f>
        <v>kg CO2-eq</v>
      </c>
    </row>
    <row r="1183" spans="6:8" ht="1.95" customHeight="1" x14ac:dyDescent="0.3"/>
    <row r="1184" spans="6:8" ht="13.95" customHeight="1" x14ac:dyDescent="0.3">
      <c r="F1184" s="64" t="str">
        <f xml:space="preserve"> F$1174</f>
        <v>Totale impact warmteproductie plasticverbranden, hernieuwbare energie</v>
      </c>
      <c r="G1184" s="67">
        <f xml:space="preserve"> G$1174</f>
        <v>1.8279603483320626</v>
      </c>
      <c r="H1184" s="64" t="str">
        <f xml:space="preserve"> H$1174</f>
        <v>MJ-eq</v>
      </c>
    </row>
    <row r="1185" spans="4:11" ht="13.95" customHeight="1" x14ac:dyDescent="0.3">
      <c r="F1185" s="64" t="str">
        <f xml:space="preserve"> F$1175</f>
        <v>Totale impact warmteproductie plasticverbranden, niet-hernieuwbare energie</v>
      </c>
      <c r="G1185" s="67">
        <f xml:space="preserve"> G$1175</f>
        <v>1408.5946453548904</v>
      </c>
      <c r="H1185" s="64" t="str">
        <f xml:space="preserve"> H$1175</f>
        <v>MJ-eq</v>
      </c>
    </row>
    <row r="1186" spans="4:11" ht="13.95" customHeight="1" x14ac:dyDescent="0.3">
      <c r="F1186" s="64" t="str">
        <f xml:space="preserve"> F$1176</f>
        <v>Totale impact warmteproductie plasticverbranden, water</v>
      </c>
      <c r="G1186" s="67">
        <f xml:space="preserve"> G$1176</f>
        <v>0.26630461805293731</v>
      </c>
      <c r="H1186" s="64" t="str">
        <f xml:space="preserve"> H$1176</f>
        <v>m3</v>
      </c>
    </row>
    <row r="1187" spans="4:11" ht="13.95" customHeight="1" x14ac:dyDescent="0.3">
      <c r="F1187" s="64" t="str">
        <f xml:space="preserve"> F$1177</f>
        <v>Totale impact warmteproductie plasticverbranden, GWP100</v>
      </c>
      <c r="G1187" s="67">
        <f xml:space="preserve"> G$1177</f>
        <v>72.175256564719049</v>
      </c>
      <c r="H1187" s="64" t="str">
        <f xml:space="preserve"> H$1177</f>
        <v>kg CO2-eq</v>
      </c>
    </row>
    <row r="1188" spans="4:11" ht="1.95" customHeight="1" x14ac:dyDescent="0.3"/>
    <row r="1189" spans="4:11" ht="13.95" customHeight="1" x14ac:dyDescent="0.3">
      <c r="F1189" s="81" t="s">
        <v>754</v>
      </c>
      <c r="G1189" s="66">
        <f>(G1179+G1184)*-1</f>
        <v>-4534.0381020286986</v>
      </c>
      <c r="H1189" s="64" t="str">
        <f xml:space="preserve"> H$1174</f>
        <v>MJ-eq</v>
      </c>
      <c r="K1189" t="s">
        <v>758</v>
      </c>
    </row>
    <row r="1190" spans="4:11" ht="13.95" customHeight="1" x14ac:dyDescent="0.3">
      <c r="F1190" s="81" t="s">
        <v>755</v>
      </c>
      <c r="G1190" s="66">
        <f t="shared" ref="G1190:G1192" si="33">(G1180+G1185)*-1</f>
        <v>-23404.541369825736</v>
      </c>
      <c r="H1190" s="64" t="str">
        <f xml:space="preserve"> H$1175</f>
        <v>MJ-eq</v>
      </c>
    </row>
    <row r="1191" spans="4:11" ht="13.95" customHeight="1" x14ac:dyDescent="0.3">
      <c r="F1191" s="81" t="s">
        <v>756</v>
      </c>
      <c r="G1191" s="66">
        <f t="shared" si="33"/>
        <v>-2.4743546433928776</v>
      </c>
      <c r="H1191" s="64" t="str">
        <f xml:space="preserve"> H$1176</f>
        <v>m3</v>
      </c>
    </row>
    <row r="1192" spans="4:11" ht="13.95" customHeight="1" x14ac:dyDescent="0.3">
      <c r="F1192" s="81" t="s">
        <v>757</v>
      </c>
      <c r="G1192" s="66">
        <f t="shared" si="33"/>
        <v>-754.54721177740191</v>
      </c>
      <c r="H1192" s="64" t="str">
        <f xml:space="preserve"> H$1177</f>
        <v>kg CO2-eq</v>
      </c>
    </row>
    <row r="1193" spans="4:11" ht="13.95" customHeight="1" x14ac:dyDescent="0.3"/>
    <row r="1194" spans="4:11" ht="13.95" customHeight="1" x14ac:dyDescent="0.3">
      <c r="D1194" t="s">
        <v>767</v>
      </c>
    </row>
    <row r="1195" spans="4:11" ht="13.95" customHeight="1" x14ac:dyDescent="0.3">
      <c r="F1195" s="64" t="str">
        <f xml:space="preserve"> F$1083</f>
        <v>Totale impact verwerken gescheiden plastic, hernieuwbare energie</v>
      </c>
      <c r="G1195" s="67">
        <f xml:space="preserve"> G$1083</f>
        <v>974.22292304251209</v>
      </c>
      <c r="H1195" s="64" t="str">
        <f xml:space="preserve"> H$1083</f>
        <v>MJ-eq</v>
      </c>
    </row>
    <row r="1196" spans="4:11" ht="13.95" customHeight="1" x14ac:dyDescent="0.3">
      <c r="F1196" s="64" t="str">
        <f xml:space="preserve"> F$1084</f>
        <v>Totale impact verwerken gescheiden plastic, niet-hernieuwbare energie</v>
      </c>
      <c r="G1196" s="67">
        <f xml:space="preserve"> G$1084</f>
        <v>-116286.1101252646</v>
      </c>
      <c r="H1196" s="64" t="str">
        <f xml:space="preserve"> H$1084</f>
        <v>MJ-eq</v>
      </c>
    </row>
    <row r="1197" spans="4:11" ht="13.95" customHeight="1" x14ac:dyDescent="0.3">
      <c r="F1197" s="64" t="str">
        <f xml:space="preserve"> F$1085</f>
        <v>Totale impact verwerken gescheiden plastic, water</v>
      </c>
      <c r="G1197" s="67">
        <f xml:space="preserve"> G$1085</f>
        <v>11.57716857648</v>
      </c>
      <c r="H1197" s="64" t="str">
        <f xml:space="preserve"> H$1085</f>
        <v>m3</v>
      </c>
    </row>
    <row r="1198" spans="4:11" ht="13.95" customHeight="1" x14ac:dyDescent="0.3">
      <c r="F1198" s="64" t="str">
        <f xml:space="preserve"> F$1086</f>
        <v>Totale impact verwerken gescheiden plastic, GWP100</v>
      </c>
      <c r="G1198" s="67">
        <f xml:space="preserve"> G$1086</f>
        <v>-2633.5017408960002</v>
      </c>
      <c r="H1198" s="64" t="str">
        <f xml:space="preserve"> H$1086</f>
        <v>kg CO2-eq</v>
      </c>
    </row>
    <row r="1199" spans="4:11" ht="1.95" customHeight="1" x14ac:dyDescent="0.3"/>
    <row r="1200" spans="4:11" ht="13.95" customHeight="1" x14ac:dyDescent="0.3">
      <c r="F1200" s="64" t="str">
        <f xml:space="preserve"> F$1111</f>
        <v>Totale impact verbranden restafval plastic, hernieuwbare energie</v>
      </c>
      <c r="G1200" s="67">
        <f xml:space="preserve"> G$1111</f>
        <v>20.140966139839996</v>
      </c>
      <c r="H1200" s="64" t="str">
        <f xml:space="preserve"> H$1111</f>
        <v>MJ-eq</v>
      </c>
    </row>
    <row r="1201" spans="1:8" ht="13.95" customHeight="1" x14ac:dyDescent="0.3">
      <c r="F1201" s="64" t="str">
        <f xml:space="preserve"> F$1112</f>
        <v>Totale impact verbranden restafval plastic, niet-hernieuwbare energie</v>
      </c>
      <c r="G1201" s="67">
        <f xml:space="preserve"> G$1112</f>
        <v>552.67486474719999</v>
      </c>
      <c r="H1201" s="64" t="str">
        <f xml:space="preserve"> H$1112</f>
        <v>MJ-eq</v>
      </c>
    </row>
    <row r="1202" spans="1:8" ht="13.95" customHeight="1" x14ac:dyDescent="0.3">
      <c r="F1202" s="64" t="str">
        <f xml:space="preserve"> F$1113</f>
        <v>Totale impact verbranden restafval plastic, water</v>
      </c>
      <c r="G1202" s="67">
        <f xml:space="preserve"> G$1113</f>
        <v>4.711182278399999</v>
      </c>
      <c r="H1202" s="64" t="str">
        <f xml:space="preserve"> H$1113</f>
        <v>m3</v>
      </c>
    </row>
    <row r="1203" spans="1:8" ht="13.95" customHeight="1" x14ac:dyDescent="0.3">
      <c r="F1203" s="64" t="str">
        <f xml:space="preserve"> F$1114</f>
        <v>Totale impact verbranden restafval plastic, GWP100</v>
      </c>
      <c r="G1203" s="67">
        <f xml:space="preserve"> G$1114</f>
        <v>2819.6332735999995</v>
      </c>
      <c r="H1203" s="64" t="str">
        <f xml:space="preserve"> H$1114</f>
        <v>kg CO2-eq</v>
      </c>
    </row>
    <row r="1204" spans="1:8" ht="1.95" customHeight="1" x14ac:dyDescent="0.3"/>
    <row r="1205" spans="1:8" ht="13.95" customHeight="1" x14ac:dyDescent="0.3">
      <c r="F1205" s="64" t="str">
        <f xml:space="preserve"> F$1189</f>
        <v>Totale impact energieproductie plasticverbranden, hernieuwbare energie</v>
      </c>
      <c r="G1205" s="67">
        <f xml:space="preserve"> G$1189</f>
        <v>-4534.0381020286986</v>
      </c>
      <c r="H1205" s="64" t="str">
        <f xml:space="preserve"> H$1189</f>
        <v>MJ-eq</v>
      </c>
    </row>
    <row r="1206" spans="1:8" ht="13.95" customHeight="1" x14ac:dyDescent="0.3">
      <c r="F1206" s="64" t="str">
        <f xml:space="preserve"> F$1190</f>
        <v>Totale impact energieproductie plasticverbranden, niet-hernieuwbare energie</v>
      </c>
      <c r="G1206" s="67">
        <f xml:space="preserve"> G$1190</f>
        <v>-23404.541369825736</v>
      </c>
      <c r="H1206" s="64" t="str">
        <f xml:space="preserve"> H$1190</f>
        <v>MJ-eq</v>
      </c>
    </row>
    <row r="1207" spans="1:8" ht="13.95" customHeight="1" x14ac:dyDescent="0.3">
      <c r="F1207" s="64" t="str">
        <f xml:space="preserve"> F$1191</f>
        <v>Totale impact energieproductie plasticverbranden, water</v>
      </c>
      <c r="G1207" s="67">
        <f xml:space="preserve"> G$1191</f>
        <v>-2.4743546433928776</v>
      </c>
      <c r="H1207" s="64" t="str">
        <f xml:space="preserve"> H$1191</f>
        <v>m3</v>
      </c>
    </row>
    <row r="1208" spans="1:8" ht="13.95" customHeight="1" x14ac:dyDescent="0.3">
      <c r="F1208" s="64" t="str">
        <f xml:space="preserve"> F$1192</f>
        <v>Totale impact energieproductie plasticverbranden, GWP100</v>
      </c>
      <c r="G1208" s="67">
        <f xml:space="preserve"> G$1192</f>
        <v>-754.54721177740191</v>
      </c>
      <c r="H1208" s="64" t="str">
        <f xml:space="preserve"> H$1192</f>
        <v>kg CO2-eq</v>
      </c>
    </row>
    <row r="1209" spans="1:8" ht="1.95" customHeight="1" x14ac:dyDescent="0.3"/>
    <row r="1210" spans="1:8" ht="13.95" customHeight="1" x14ac:dyDescent="0.3">
      <c r="F1210" t="s">
        <v>763</v>
      </c>
      <c r="G1210" s="101">
        <f>G1195+G1200+G1205</f>
        <v>-3539.6742128463466</v>
      </c>
      <c r="H1210" s="64" t="str">
        <f xml:space="preserve"> H$1189</f>
        <v>MJ-eq</v>
      </c>
    </row>
    <row r="1211" spans="1:8" ht="13.95" customHeight="1" x14ac:dyDescent="0.3">
      <c r="F1211" t="s">
        <v>764</v>
      </c>
      <c r="G1211" s="101">
        <f t="shared" ref="G1211:G1213" si="34">G1196+G1201+G1206</f>
        <v>-139137.97663034315</v>
      </c>
      <c r="H1211" s="64" t="str">
        <f xml:space="preserve"> H$1190</f>
        <v>MJ-eq</v>
      </c>
    </row>
    <row r="1212" spans="1:8" ht="13.95" customHeight="1" x14ac:dyDescent="0.3">
      <c r="F1212" t="s">
        <v>765</v>
      </c>
      <c r="G1212" s="101">
        <f t="shared" si="34"/>
        <v>13.813996211487122</v>
      </c>
      <c r="H1212" s="64" t="str">
        <f xml:space="preserve"> H$1191</f>
        <v>m3</v>
      </c>
    </row>
    <row r="1213" spans="1:8" ht="13.95" customHeight="1" x14ac:dyDescent="0.3">
      <c r="F1213" t="s">
        <v>766</v>
      </c>
      <c r="G1213" s="101">
        <f t="shared" si="34"/>
        <v>-568.41567907340266</v>
      </c>
      <c r="H1213" s="64" t="str">
        <f xml:space="preserve"> H$1192</f>
        <v>kg CO2-eq</v>
      </c>
    </row>
    <row r="1214" spans="1:8" ht="13.8" customHeight="1" x14ac:dyDescent="0.3"/>
    <row r="1215" spans="1:8" s="40" customFormat="1" ht="13.95" customHeight="1" x14ac:dyDescent="0.3">
      <c r="A1215" s="60" t="s">
        <v>8</v>
      </c>
      <c r="B1215" s="61"/>
      <c r="C1215" s="62"/>
      <c r="E1215" s="61"/>
    </row>
    <row r="1216" spans="1:8" ht="13.8" customHeight="1" x14ac:dyDescent="0.3"/>
    <row r="1217" spans="5:10" ht="13.8" customHeight="1" x14ac:dyDescent="0.3">
      <c r="F1217" s="64" t="str">
        <f xml:space="preserve"> F$64</f>
        <v>Aantal huishoudens gemeente (beschikbare data)</v>
      </c>
      <c r="G1217" s="64">
        <f xml:space="preserve"> G$64</f>
        <v>60000</v>
      </c>
      <c r="H1217" s="64" t="str">
        <f xml:space="preserve"> H$64</f>
        <v>huishoudens</v>
      </c>
      <c r="J1217" t="s">
        <v>1072</v>
      </c>
    </row>
    <row r="1218" spans="5:10" ht="13.8" customHeight="1" x14ac:dyDescent="0.3">
      <c r="F1218" s="64" t="str">
        <f xml:space="preserve"> F$67</f>
        <v>% huishoudens Ja/Ja-sticker</v>
      </c>
      <c r="G1218" s="65">
        <f xml:space="preserve"> G$67</f>
        <v>0</v>
      </c>
      <c r="H1218" s="64" t="str">
        <f xml:space="preserve"> H$67</f>
        <v>%</v>
      </c>
    </row>
    <row r="1219" spans="5:10" ht="1.95" customHeight="1" x14ac:dyDescent="0.3"/>
    <row r="1220" spans="5:10" ht="13.8" customHeight="1" x14ac:dyDescent="0.3">
      <c r="F1220" t="s">
        <v>1064</v>
      </c>
      <c r="G1220">
        <f>G1217*G1218*G1233</f>
        <v>0</v>
      </c>
      <c r="H1220" t="s">
        <v>1065</v>
      </c>
    </row>
    <row r="1221" spans="5:10" ht="13.8" customHeight="1" x14ac:dyDescent="0.3"/>
    <row r="1222" spans="5:10" ht="13.8" customHeight="1" x14ac:dyDescent="0.3">
      <c r="F1222" s="64" t="str">
        <f xml:space="preserve"> F$1220</f>
        <v>Aantal stickers nodig</v>
      </c>
      <c r="G1222" s="64">
        <f xml:space="preserve"> G$1220</f>
        <v>0</v>
      </c>
      <c r="H1222" s="64" t="str">
        <f xml:space="preserve"> H$1220</f>
        <v>stickers</v>
      </c>
    </row>
    <row r="1223" spans="5:10" ht="13.8" customHeight="1" x14ac:dyDescent="0.3">
      <c r="E1223" s="46"/>
      <c r="F1223" s="46" t="str">
        <f xml:space="preserve"> Inputs!E$137</f>
        <v xml:space="preserve">Gewicht vinyl sticker </v>
      </c>
      <c r="G1223" s="46">
        <f xml:space="preserve"> Inputs!F$137</f>
        <v>0.05</v>
      </c>
      <c r="H1223" s="46" t="str">
        <f xml:space="preserve"> Inputs!G$137</f>
        <v>kg / m2</v>
      </c>
    </row>
    <row r="1224" spans="5:10" ht="13.8" customHeight="1" x14ac:dyDescent="0.3">
      <c r="E1224" s="46"/>
      <c r="F1224" s="46" t="str">
        <f xml:space="preserve"> Inputs!E$138</f>
        <v>Oppervlakte Ja/Ja-sticker</v>
      </c>
      <c r="G1224" s="46">
        <f xml:space="preserve"> Inputs!F$138</f>
        <v>4.1999999999999997E-3</v>
      </c>
      <c r="H1224" s="46" t="str">
        <f xml:space="preserve"> Inputs!G$138</f>
        <v>m2</v>
      </c>
    </row>
    <row r="1225" spans="5:10" ht="1.95" customHeight="1" x14ac:dyDescent="0.3">
      <c r="E1225" s="46"/>
      <c r="F1225" s="46"/>
      <c r="G1225" s="46"/>
      <c r="H1225" s="46"/>
    </row>
    <row r="1226" spans="5:10" ht="13.8" customHeight="1" x14ac:dyDescent="0.3">
      <c r="E1226" s="46"/>
      <c r="F1226" s="68" t="s">
        <v>1067</v>
      </c>
      <c r="G1226" s="73">
        <f>G1222*G1223*G1224</f>
        <v>0</v>
      </c>
      <c r="H1226" s="68" t="s">
        <v>1066</v>
      </c>
    </row>
    <row r="1227" spans="5:10" ht="13.8" customHeight="1" x14ac:dyDescent="0.3">
      <c r="E1227" s="46"/>
      <c r="F1227" s="46"/>
      <c r="G1227" s="46"/>
      <c r="H1227" s="46"/>
    </row>
    <row r="1228" spans="5:10" ht="13.8" customHeight="1" x14ac:dyDescent="0.3">
      <c r="E1228" s="46"/>
      <c r="F1228" s="64" t="str">
        <f xml:space="preserve"> F$126</f>
        <v>Opt-in (Ja/Ja), incl. huis-aan-huisbladen</v>
      </c>
      <c r="G1228" s="64">
        <f xml:space="preserve"> G$126</f>
        <v>0</v>
      </c>
      <c r="H1228" s="64" t="str">
        <f xml:space="preserve"> H$126</f>
        <v>0 = nee; 1 = ja</v>
      </c>
    </row>
    <row r="1229" spans="5:10" ht="13.8" customHeight="1" x14ac:dyDescent="0.3">
      <c r="E1229" s="46"/>
      <c r="F1229" s="64" t="str">
        <f xml:space="preserve"> F$127</f>
        <v>Opt-in (Ja/Ja), excl. huis-aan-huisbladen</v>
      </c>
      <c r="G1229" s="64">
        <f xml:space="preserve"> G$127</f>
        <v>0</v>
      </c>
      <c r="H1229" s="64" t="str">
        <f xml:space="preserve"> H$127</f>
        <v>0 = nee; 1 = ja</v>
      </c>
    </row>
    <row r="1230" spans="5:10" ht="13.8" customHeight="1" x14ac:dyDescent="0.3">
      <c r="E1230" s="46"/>
      <c r="F1230" s="64" t="str">
        <f xml:space="preserve"> F$128</f>
        <v>Optimaliseren opt-out (Nee/Nee)</v>
      </c>
      <c r="G1230" s="64">
        <f xml:space="preserve"> G$128</f>
        <v>1</v>
      </c>
      <c r="H1230" s="64" t="str">
        <f xml:space="preserve"> H$128</f>
        <v>0 = nee; 1 = ja</v>
      </c>
    </row>
    <row r="1231" spans="5:10" ht="13.8" customHeight="1" x14ac:dyDescent="0.3">
      <c r="E1231" s="46"/>
      <c r="F1231" s="64" t="str">
        <f xml:space="preserve"> F$129</f>
        <v>Volledig digitaal</v>
      </c>
      <c r="G1231" s="64">
        <f xml:space="preserve"> G$129</f>
        <v>0</v>
      </c>
      <c r="H1231" s="64" t="str">
        <f xml:space="preserve"> H$129</f>
        <v>0 = nee; 1 = ja</v>
      </c>
    </row>
    <row r="1232" spans="5:10" ht="1.95" customHeight="1" x14ac:dyDescent="0.3">
      <c r="E1232" s="46"/>
      <c r="F1232" s="64"/>
      <c r="G1232" s="64"/>
      <c r="H1232" s="64"/>
    </row>
    <row r="1233" spans="5:8" ht="13.8" customHeight="1" x14ac:dyDescent="0.3">
      <c r="E1233" s="46"/>
      <c r="F1233" s="64" t="s">
        <v>1114</v>
      </c>
      <c r="G1233" s="64">
        <f>IF(OR(G1228=1,G1229=1),1,0)</f>
        <v>0</v>
      </c>
      <c r="H1233" s="64" t="s">
        <v>771</v>
      </c>
    </row>
    <row r="1234" spans="5:8" ht="13.8" customHeight="1" x14ac:dyDescent="0.3">
      <c r="E1234" s="46"/>
      <c r="F1234" s="64"/>
      <c r="G1234" s="64"/>
      <c r="H1234" s="64"/>
    </row>
    <row r="1235" spans="5:8" ht="13.8" customHeight="1" x14ac:dyDescent="0.3">
      <c r="E1235" s="46" t="str">
        <f xml:space="preserve"> Inputs!D$146</f>
        <v>Impact vinyl stickers</v>
      </c>
      <c r="F1235" s="46"/>
      <c r="G1235" s="46"/>
      <c r="H1235" s="46"/>
    </row>
    <row r="1236" spans="5:8" ht="13.8" customHeight="1" x14ac:dyDescent="0.3">
      <c r="E1236" s="46"/>
      <c r="F1236" s="46" t="str">
        <f xml:space="preserve"> Inputs!E$147</f>
        <v>Vinyl sticker, hernieuwbare energie, biomassa</v>
      </c>
      <c r="G1236" s="46">
        <f xml:space="preserve"> Inputs!F$147</f>
        <v>5.1909999999999998</v>
      </c>
      <c r="H1236" s="46" t="str">
        <f xml:space="preserve"> Inputs!G$147</f>
        <v>MJ-eq / kg</v>
      </c>
    </row>
    <row r="1237" spans="5:8" ht="13.8" customHeight="1" x14ac:dyDescent="0.3">
      <c r="E1237" s="46"/>
      <c r="F1237" s="46" t="str">
        <f xml:space="preserve"> Inputs!E$148</f>
        <v>Vinyl sticker, hernieuwbare energie, geothermie</v>
      </c>
      <c r="G1237" s="46">
        <f xml:space="preserve"> Inputs!F$148</f>
        <v>0.35520000000000002</v>
      </c>
      <c r="H1237" s="46" t="str">
        <f xml:space="preserve"> Inputs!G$148</f>
        <v>MJ-eq / kg</v>
      </c>
    </row>
    <row r="1238" spans="5:8" ht="13.8" customHeight="1" x14ac:dyDescent="0.3">
      <c r="E1238" s="46"/>
      <c r="F1238" s="46" t="str">
        <f xml:space="preserve"> Inputs!E$149</f>
        <v>Vinyl sticker, hernieuwbare energie, zon</v>
      </c>
      <c r="G1238" s="46">
        <f xml:space="preserve"> Inputs!F$149</f>
        <v>1.3243E-2</v>
      </c>
      <c r="H1238" s="46" t="str">
        <f xml:space="preserve"> Inputs!G$149</f>
        <v>MJ-eq / kg</v>
      </c>
    </row>
    <row r="1239" spans="5:8" ht="13.8" customHeight="1" x14ac:dyDescent="0.3">
      <c r="E1239" s="46"/>
      <c r="F1239" s="46" t="str">
        <f xml:space="preserve"> Inputs!E$150</f>
        <v>Vinyl sticker, hernieuwbare energie, water</v>
      </c>
      <c r="G1239" s="46">
        <f xml:space="preserve"> Inputs!F$150</f>
        <v>9.6800999999999995</v>
      </c>
      <c r="H1239" s="46" t="str">
        <f xml:space="preserve"> Inputs!G$150</f>
        <v>MJ-eq / kg</v>
      </c>
    </row>
    <row r="1240" spans="5:8" ht="13.8" customHeight="1" x14ac:dyDescent="0.3">
      <c r="E1240" s="46"/>
      <c r="F1240" s="46" t="str">
        <f xml:space="preserve"> Inputs!E$151</f>
        <v>Vinyl sticker, hernieuwbare energie, wind</v>
      </c>
      <c r="G1240" s="46">
        <f xml:space="preserve"> Inputs!F$151</f>
        <v>2.9108999999999998</v>
      </c>
      <c r="H1240" s="46" t="str">
        <f xml:space="preserve"> Inputs!G$151</f>
        <v>MJ-eq / kg</v>
      </c>
    </row>
    <row r="1241" spans="5:8" ht="1.95" customHeight="1" x14ac:dyDescent="0.3">
      <c r="E1241" s="46"/>
      <c r="F1241" s="46"/>
      <c r="G1241" s="46"/>
      <c r="H1241" s="46"/>
    </row>
    <row r="1242" spans="5:8" ht="13.8" customHeight="1" x14ac:dyDescent="0.3">
      <c r="E1242" s="46"/>
      <c r="F1242" s="46" t="str">
        <f xml:space="preserve"> Inputs!E$153</f>
        <v>Vinyl sticker, niet-hernieuwbare energie, fossiel</v>
      </c>
      <c r="G1242" s="46">
        <f xml:space="preserve"> Inputs!F$153</f>
        <v>221.14</v>
      </c>
      <c r="H1242" s="46" t="str">
        <f xml:space="preserve"> Inputs!G$153</f>
        <v>MJ-eq / kg</v>
      </c>
    </row>
    <row r="1243" spans="5:8" ht="13.8" customHeight="1" x14ac:dyDescent="0.3">
      <c r="E1243" s="46"/>
      <c r="F1243" s="46" t="str">
        <f xml:space="preserve"> Inputs!E$154</f>
        <v>Vinyl sticker, niet-hernieuwbare energie, nucleair</v>
      </c>
      <c r="G1243" s="46">
        <f xml:space="preserve"> Inputs!F$154</f>
        <v>30.204000000000001</v>
      </c>
      <c r="H1243" s="46" t="str">
        <f xml:space="preserve"> Inputs!G$154</f>
        <v>MJ-eq / kg</v>
      </c>
    </row>
    <row r="1244" spans="5:8" ht="13.8" customHeight="1" x14ac:dyDescent="0.3">
      <c r="E1244" s="46"/>
      <c r="F1244" s="46" t="str">
        <f xml:space="preserve"> Inputs!E$155</f>
        <v>Vinyl sticker, niet-hernieuwbare energie, oerbos</v>
      </c>
      <c r="G1244" s="46">
        <f xml:space="preserve"> Inputs!F$155</f>
        <v>1.0288E-2</v>
      </c>
      <c r="H1244" s="46" t="str">
        <f xml:space="preserve"> Inputs!G$155</f>
        <v>MJ-eq / kg</v>
      </c>
    </row>
    <row r="1245" spans="5:8" ht="1.95" customHeight="1" x14ac:dyDescent="0.3">
      <c r="E1245" s="46"/>
      <c r="F1245" s="46"/>
      <c r="G1245" s="46"/>
      <c r="H1245" s="46"/>
    </row>
    <row r="1246" spans="5:8" ht="13.8" customHeight="1" x14ac:dyDescent="0.3">
      <c r="E1246" s="46"/>
      <c r="F1246" s="46" t="str">
        <f xml:space="preserve"> Inputs!E$157</f>
        <v>Vinyl sticker, water</v>
      </c>
      <c r="G1246" s="46">
        <f xml:space="preserve"> Inputs!F$157</f>
        <v>9.5403000000000002E-2</v>
      </c>
      <c r="H1246" s="46" t="str">
        <f xml:space="preserve"> Inputs!G$157</f>
        <v>m3 / kg</v>
      </c>
    </row>
    <row r="1247" spans="5:8" ht="1.95" customHeight="1" x14ac:dyDescent="0.3">
      <c r="E1247" s="46"/>
      <c r="F1247" s="46"/>
      <c r="G1247" s="46"/>
      <c r="H1247" s="46"/>
    </row>
    <row r="1248" spans="5:8" ht="13.8" customHeight="1" x14ac:dyDescent="0.3">
      <c r="E1248" s="46"/>
      <c r="F1248" s="46" t="str">
        <f xml:space="preserve"> Inputs!E$159</f>
        <v>Vinyl sticker, GWP100</v>
      </c>
      <c r="G1248" s="46">
        <f xml:space="preserve"> Inputs!F$159</f>
        <v>19.242000000000001</v>
      </c>
      <c r="H1248" s="46" t="str">
        <f xml:space="preserve"> Inputs!G$159</f>
        <v>kg CO2-eq / kg</v>
      </c>
    </row>
    <row r="1249" spans="1:12" ht="13.8" customHeight="1" x14ac:dyDescent="0.3"/>
    <row r="1250" spans="1:12" ht="13.8" customHeight="1" x14ac:dyDescent="0.3">
      <c r="F1250" s="68" t="s">
        <v>1068</v>
      </c>
      <c r="G1250" s="75">
        <f>SUM(G1236:G1240)</f>
        <v>18.150442999999999</v>
      </c>
      <c r="H1250" s="68" t="s">
        <v>587</v>
      </c>
    </row>
    <row r="1251" spans="1:12" ht="13.8" customHeight="1" x14ac:dyDescent="0.3">
      <c r="F1251" s="68" t="s">
        <v>1069</v>
      </c>
      <c r="G1251" s="75">
        <f>SUM(G1242:G1244)</f>
        <v>251.354288</v>
      </c>
      <c r="H1251" s="68" t="s">
        <v>587</v>
      </c>
    </row>
    <row r="1252" spans="1:12" ht="13.8" customHeight="1" x14ac:dyDescent="0.3">
      <c r="F1252" s="68" t="s">
        <v>1070</v>
      </c>
      <c r="G1252" s="75">
        <f>G1246</f>
        <v>9.5403000000000002E-2</v>
      </c>
      <c r="H1252" s="68" t="s">
        <v>588</v>
      </c>
    </row>
    <row r="1253" spans="1:12" ht="13.8" customHeight="1" x14ac:dyDescent="0.3">
      <c r="F1253" s="68" t="s">
        <v>1071</v>
      </c>
      <c r="G1253" s="75">
        <f>G1248</f>
        <v>19.242000000000001</v>
      </c>
      <c r="H1253" s="68" t="s">
        <v>589</v>
      </c>
    </row>
    <row r="1254" spans="1:12" ht="1.95" customHeight="1" x14ac:dyDescent="0.3"/>
    <row r="1255" spans="1:12" ht="13.8" customHeight="1" x14ac:dyDescent="0.3">
      <c r="F1255" s="64" t="str">
        <f xml:space="preserve"> F$1226</f>
        <v>Gewicht aan stickers</v>
      </c>
      <c r="G1255" s="64">
        <f xml:space="preserve"> G$1226</f>
        <v>0</v>
      </c>
      <c r="H1255" s="64" t="str">
        <f xml:space="preserve"> H$1226</f>
        <v>kg vinyl</v>
      </c>
    </row>
    <row r="1256" spans="1:12" ht="1.95" customHeight="1" x14ac:dyDescent="0.3"/>
    <row r="1257" spans="1:12" ht="13.8" customHeight="1" x14ac:dyDescent="0.3">
      <c r="F1257" s="68" t="s">
        <v>1073</v>
      </c>
      <c r="G1257" s="101">
        <f>G1250*$G$1255</f>
        <v>0</v>
      </c>
      <c r="H1257" s="64" t="str">
        <f xml:space="preserve"> H$710</f>
        <v>MJ-eq</v>
      </c>
    </row>
    <row r="1258" spans="1:12" ht="13.8" customHeight="1" x14ac:dyDescent="0.3">
      <c r="F1258" s="68" t="s">
        <v>1074</v>
      </c>
      <c r="G1258" s="101">
        <f t="shared" ref="G1258:G1260" si="35">G1251*$G$1255</f>
        <v>0</v>
      </c>
      <c r="H1258" s="64" t="str">
        <f xml:space="preserve"> H$711</f>
        <v>MJ-eq</v>
      </c>
    </row>
    <row r="1259" spans="1:12" ht="13.8" customHeight="1" x14ac:dyDescent="0.3">
      <c r="F1259" s="68" t="s">
        <v>1075</v>
      </c>
      <c r="G1259" s="101">
        <f t="shared" si="35"/>
        <v>0</v>
      </c>
      <c r="H1259" s="64" t="str">
        <f xml:space="preserve"> H$712</f>
        <v>m3</v>
      </c>
    </row>
    <row r="1260" spans="1:12" ht="13.8" customHeight="1" x14ac:dyDescent="0.3">
      <c r="F1260" s="68" t="s">
        <v>1076</v>
      </c>
      <c r="G1260" s="101">
        <f t="shared" si="35"/>
        <v>0</v>
      </c>
      <c r="H1260" s="64" t="str">
        <f xml:space="preserve"> H$713</f>
        <v>kg CO2-eq</v>
      </c>
    </row>
    <row r="1261" spans="1:12" ht="13.8" customHeight="1" x14ac:dyDescent="0.3"/>
    <row r="1262" spans="1:12" s="40" customFormat="1" ht="13.95" customHeight="1" x14ac:dyDescent="0.3">
      <c r="A1262" s="60" t="s">
        <v>1077</v>
      </c>
      <c r="B1262" s="61"/>
      <c r="C1262" s="62"/>
      <c r="E1262" s="61"/>
    </row>
    <row r="1263" spans="1:12" ht="13.8" customHeight="1" x14ac:dyDescent="0.3"/>
    <row r="1264" spans="1:12" ht="13.8" customHeight="1" x14ac:dyDescent="0.3">
      <c r="F1264" s="64" t="str">
        <f xml:space="preserve"> F$64</f>
        <v>Aantal huishoudens gemeente (beschikbare data)</v>
      </c>
      <c r="G1264" s="64">
        <f xml:space="preserve"> G$64</f>
        <v>60000</v>
      </c>
      <c r="H1264" s="64" t="str">
        <f xml:space="preserve"> H$64</f>
        <v>huishoudens</v>
      </c>
      <c r="K1264" s="43"/>
      <c r="L1264" s="43"/>
    </row>
    <row r="1265" spans="6:8" ht="13.8" customHeight="1" x14ac:dyDescent="0.3">
      <c r="F1265" s="46" t="str">
        <f xml:space="preserve"> Inputs!E$141</f>
        <v>Gewicht per brief</v>
      </c>
      <c r="G1265" s="46">
        <f xml:space="preserve"> Inputs!F$141</f>
        <v>5</v>
      </c>
      <c r="H1265" s="46" t="str">
        <f xml:space="preserve"> Inputs!G$141</f>
        <v>gram</v>
      </c>
    </row>
    <row r="1266" spans="6:8" ht="13.8" customHeight="1" x14ac:dyDescent="0.3">
      <c r="F1266" s="46" t="str">
        <f xml:space="preserve"> Inputs!E$142</f>
        <v>Gewicht per envelop</v>
      </c>
      <c r="G1266" s="46">
        <f xml:space="preserve"> Inputs!F$142</f>
        <v>10</v>
      </c>
      <c r="H1266" s="46" t="str">
        <f xml:space="preserve"> Inputs!G$142</f>
        <v>gram</v>
      </c>
    </row>
    <row r="1267" spans="6:8" ht="13.8" customHeight="1" x14ac:dyDescent="0.3">
      <c r="F1267" s="46" t="str">
        <f xml:space="preserve"> Inputs!E$144</f>
        <v>Aantal brieven die gestuurd worden m.b.t. invoering</v>
      </c>
      <c r="G1267" s="46">
        <f xml:space="preserve"> Inputs!F$144</f>
        <v>2</v>
      </c>
      <c r="H1267" s="46" t="str">
        <f xml:space="preserve"> Inputs!G$144</f>
        <v>brieven</v>
      </c>
    </row>
    <row r="1268" spans="6:8" ht="13.8" customHeight="1" x14ac:dyDescent="0.3">
      <c r="F1268" s="46" t="str">
        <f xml:space="preserve"> Inputs!E$10</f>
        <v>Aantal gram per kilo</v>
      </c>
      <c r="G1268" s="46">
        <f xml:space="preserve"> Inputs!F$10</f>
        <v>1000</v>
      </c>
      <c r="H1268" s="46" t="str">
        <f xml:space="preserve"> Inputs!G$10</f>
        <v>gram / kilo</v>
      </c>
    </row>
    <row r="1269" spans="6:8" ht="1.95" customHeight="1" x14ac:dyDescent="0.3"/>
    <row r="1270" spans="6:8" ht="13.8" customHeight="1" x14ac:dyDescent="0.3">
      <c r="F1270" t="s">
        <v>1078</v>
      </c>
      <c r="G1270">
        <f>(G1265+G1266)*G1267*G1264/G1268*G1272</f>
        <v>0</v>
      </c>
      <c r="H1270" t="s">
        <v>1079</v>
      </c>
    </row>
    <row r="1271" spans="6:8" ht="1.95" customHeight="1" x14ac:dyDescent="0.3"/>
    <row r="1272" spans="6:8" ht="13.8" customHeight="1" x14ac:dyDescent="0.3">
      <c r="F1272" s="64" t="str">
        <f xml:space="preserve"> F$1233</f>
        <v>Wel of geen stickers en brieven nodig</v>
      </c>
      <c r="G1272" s="64">
        <f xml:space="preserve"> G$1233</f>
        <v>0</v>
      </c>
      <c r="H1272" s="64" t="str">
        <f xml:space="preserve"> H$1233</f>
        <v>0 = nee; 1 = ja</v>
      </c>
    </row>
    <row r="1273" spans="6:8" ht="13.8" customHeight="1" x14ac:dyDescent="0.3"/>
    <row r="1274" spans="6:8" ht="13.8" customHeight="1" x14ac:dyDescent="0.3">
      <c r="F1274" s="46" t="str">
        <f xml:space="preserve"> Inputs!E$32</f>
        <v>Virgin bedrukt papier, hernieuwbare energie, biomassa</v>
      </c>
      <c r="G1274" s="46">
        <f xml:space="preserve"> Inputs!F$32</f>
        <v>27.245000000000001</v>
      </c>
      <c r="H1274" s="46" t="str">
        <f xml:space="preserve"> Inputs!G$32</f>
        <v>MJ-eq / kg</v>
      </c>
    </row>
    <row r="1275" spans="6:8" ht="13.8" customHeight="1" x14ac:dyDescent="0.3">
      <c r="F1275" s="46" t="str">
        <f xml:space="preserve"> Inputs!E$33</f>
        <v>Virgin bedrukt papier, hernieuwbare energie, geothermie</v>
      </c>
      <c r="G1275" s="46">
        <f xml:space="preserve"> Inputs!F$33</f>
        <v>7.4050000000000005E-2</v>
      </c>
      <c r="H1275" s="46" t="str">
        <f xml:space="preserve"> Inputs!G$33</f>
        <v>MJ-eq / kg</v>
      </c>
    </row>
    <row r="1276" spans="6:8" ht="13.8" customHeight="1" x14ac:dyDescent="0.3">
      <c r="F1276" s="46" t="str">
        <f xml:space="preserve"> Inputs!E$34</f>
        <v>Virgin bedrukt papier, hernieuwbare energie, zon</v>
      </c>
      <c r="G1276" s="46">
        <f xml:space="preserve"> Inputs!F$34</f>
        <v>4.6504000000000001E-4</v>
      </c>
      <c r="H1276" s="46" t="str">
        <f xml:space="preserve"> Inputs!G$34</f>
        <v>MJ-eq / kg</v>
      </c>
    </row>
    <row r="1277" spans="6:8" ht="13.8" customHeight="1" x14ac:dyDescent="0.3">
      <c r="F1277" s="46" t="str">
        <f xml:space="preserve"> Inputs!E$35</f>
        <v>Virgin bedrukt papier, hernieuwbare energie, water</v>
      </c>
      <c r="G1277" s="46">
        <f xml:space="preserve"> Inputs!F$35</f>
        <v>2.1696</v>
      </c>
      <c r="H1277" s="46" t="str">
        <f xml:space="preserve"> Inputs!G$35</f>
        <v>MJ-eq / kg</v>
      </c>
    </row>
    <row r="1278" spans="6:8" ht="13.8" customHeight="1" x14ac:dyDescent="0.3">
      <c r="F1278" s="46" t="str">
        <f xml:space="preserve"> Inputs!E$36</f>
        <v>Virgin bedrukt papier, hernieuwbare energie, wind</v>
      </c>
      <c r="G1278" s="46">
        <f xml:space="preserve"> Inputs!F$36</f>
        <v>1.0834999999999999</v>
      </c>
      <c r="H1278" s="46" t="str">
        <f xml:space="preserve"> Inputs!G$36</f>
        <v>MJ-eq / kg</v>
      </c>
    </row>
    <row r="1279" spans="6:8" ht="1.95" customHeight="1" x14ac:dyDescent="0.3">
      <c r="F1279" s="46"/>
      <c r="G1279" s="46"/>
      <c r="H1279" s="46"/>
    </row>
    <row r="1280" spans="6:8" ht="13.8" customHeight="1" x14ac:dyDescent="0.3">
      <c r="F1280" s="46" t="str">
        <f xml:space="preserve"> Inputs!E$38</f>
        <v>Virgin bedrukt papier, niet-hernieuwbare energie, fossiel</v>
      </c>
      <c r="G1280" s="46">
        <f xml:space="preserve"> Inputs!F$38</f>
        <v>17.510999999999999</v>
      </c>
      <c r="H1280" s="46" t="str">
        <f xml:space="preserve"> Inputs!G$38</f>
        <v>MJ-eq / kg</v>
      </c>
    </row>
    <row r="1281" spans="6:8" ht="13.8" customHeight="1" x14ac:dyDescent="0.3">
      <c r="F1281" s="46" t="str">
        <f xml:space="preserve"> Inputs!E$39</f>
        <v>Virgin bedrukt papier, niet-hernieuwbare energie, nucleair</v>
      </c>
      <c r="G1281" s="46">
        <f xml:space="preserve"> Inputs!F$39</f>
        <v>11.567</v>
      </c>
      <c r="H1281" s="46" t="str">
        <f xml:space="preserve"> Inputs!G$39</f>
        <v>MJ-eq / kg</v>
      </c>
    </row>
    <row r="1282" spans="6:8" ht="13.8" customHeight="1" x14ac:dyDescent="0.3">
      <c r="F1282" s="46" t="str">
        <f xml:space="preserve"> Inputs!E$40</f>
        <v>Virgin bedrukt papier, niet-hernieuwbare energie, oerbos</v>
      </c>
      <c r="G1282" s="46">
        <f xml:space="preserve"> Inputs!F$40</f>
        <v>3.0032000000000001E-3</v>
      </c>
      <c r="H1282" s="46" t="str">
        <f xml:space="preserve"> Inputs!G$40</f>
        <v>MJ-eq / kg</v>
      </c>
    </row>
    <row r="1283" spans="6:8" ht="1.95" customHeight="1" x14ac:dyDescent="0.3">
      <c r="F1283" s="46"/>
      <c r="G1283" s="46"/>
      <c r="H1283" s="46"/>
    </row>
    <row r="1284" spans="6:8" ht="13.8" customHeight="1" x14ac:dyDescent="0.3">
      <c r="F1284" s="46" t="str">
        <f xml:space="preserve"> Inputs!E$42</f>
        <v>Virgin bedrukt papier, water</v>
      </c>
      <c r="G1284" s="46">
        <f xml:space="preserve"> Inputs!F$42</f>
        <v>2.6164E-2</v>
      </c>
      <c r="H1284" s="46" t="str">
        <f xml:space="preserve"> Inputs!G$42</f>
        <v>m3 / kg</v>
      </c>
    </row>
    <row r="1285" spans="6:8" ht="1.95" customHeight="1" x14ac:dyDescent="0.3">
      <c r="F1285" s="46"/>
      <c r="G1285" s="46"/>
      <c r="H1285" s="46"/>
    </row>
    <row r="1286" spans="6:8" ht="13.8" customHeight="1" x14ac:dyDescent="0.3">
      <c r="F1286" s="46" t="str">
        <f xml:space="preserve"> Inputs!E$44</f>
        <v>Virgin bedrukt papier, GWP100</v>
      </c>
      <c r="G1286" s="46">
        <f xml:space="preserve"> Inputs!F$44</f>
        <v>1.3794999999999999</v>
      </c>
      <c r="H1286" s="46" t="str">
        <f xml:space="preserve"> Inputs!G$44</f>
        <v>kg CO2-eq / kg</v>
      </c>
    </row>
    <row r="1287" spans="6:8" ht="13.8" customHeight="1" x14ac:dyDescent="0.3"/>
    <row r="1288" spans="6:8" ht="13.8" customHeight="1" x14ac:dyDescent="0.3">
      <c r="F1288" s="68" t="s">
        <v>1080</v>
      </c>
      <c r="G1288" s="75">
        <f>SUM(G1274:G1278)</f>
        <v>30.572615040000002</v>
      </c>
      <c r="H1288" s="68" t="s">
        <v>587</v>
      </c>
    </row>
    <row r="1289" spans="6:8" ht="13.8" customHeight="1" x14ac:dyDescent="0.3">
      <c r="F1289" s="68" t="s">
        <v>1081</v>
      </c>
      <c r="G1289" s="75">
        <f>SUM(G1280:G1282)</f>
        <v>29.081003199999998</v>
      </c>
      <c r="H1289" s="68" t="s">
        <v>587</v>
      </c>
    </row>
    <row r="1290" spans="6:8" ht="13.8" customHeight="1" x14ac:dyDescent="0.3">
      <c r="F1290" s="68" t="s">
        <v>1082</v>
      </c>
      <c r="G1290" s="75">
        <f>G1284</f>
        <v>2.6164E-2</v>
      </c>
      <c r="H1290" s="68" t="s">
        <v>588</v>
      </c>
    </row>
    <row r="1291" spans="6:8" ht="13.8" customHeight="1" x14ac:dyDescent="0.3">
      <c r="F1291" s="68" t="s">
        <v>1083</v>
      </c>
      <c r="G1291" s="75">
        <f>G1286</f>
        <v>1.3794999999999999</v>
      </c>
      <c r="H1291" s="68" t="s">
        <v>589</v>
      </c>
    </row>
    <row r="1292" spans="6:8" ht="1.95" customHeight="1" x14ac:dyDescent="0.3"/>
    <row r="1293" spans="6:8" ht="13.8" customHeight="1" x14ac:dyDescent="0.3">
      <c r="F1293" s="64" t="str">
        <f xml:space="preserve"> F$1270</f>
        <v>Gewicht aan brieven gemeente</v>
      </c>
      <c r="G1293" s="64">
        <f xml:space="preserve"> G$1270</f>
        <v>0</v>
      </c>
      <c r="H1293" s="64" t="str">
        <f xml:space="preserve"> H$1270</f>
        <v>kg papier</v>
      </c>
    </row>
    <row r="1294" spans="6:8" ht="1.95" customHeight="1" x14ac:dyDescent="0.3"/>
    <row r="1295" spans="6:8" ht="13.8" customHeight="1" x14ac:dyDescent="0.3">
      <c r="F1295" s="68" t="s">
        <v>1084</v>
      </c>
      <c r="G1295" s="101">
        <f>G1288*$G$1293</f>
        <v>0</v>
      </c>
      <c r="H1295" s="64" t="str">
        <f xml:space="preserve"> H$710</f>
        <v>MJ-eq</v>
      </c>
    </row>
    <row r="1296" spans="6:8" ht="13.8" customHeight="1" x14ac:dyDescent="0.3">
      <c r="F1296" s="68" t="s">
        <v>1085</v>
      </c>
      <c r="G1296" s="101">
        <f t="shared" ref="G1296:G1298" si="36">G1289*$G$1293</f>
        <v>0</v>
      </c>
      <c r="H1296" s="64" t="str">
        <f xml:space="preserve"> H$711</f>
        <v>MJ-eq</v>
      </c>
    </row>
    <row r="1297" spans="1:13" ht="13.8" customHeight="1" x14ac:dyDescent="0.3">
      <c r="F1297" s="68" t="s">
        <v>1086</v>
      </c>
      <c r="G1297" s="101">
        <f t="shared" si="36"/>
        <v>0</v>
      </c>
      <c r="H1297" s="64" t="str">
        <f xml:space="preserve"> H$712</f>
        <v>m3</v>
      </c>
    </row>
    <row r="1298" spans="1:13" ht="13.8" customHeight="1" x14ac:dyDescent="0.3">
      <c r="F1298" s="68" t="s">
        <v>1087</v>
      </c>
      <c r="G1298" s="101">
        <f t="shared" si="36"/>
        <v>0</v>
      </c>
      <c r="H1298" s="64" t="str">
        <f xml:space="preserve"> H$713</f>
        <v>kg CO2-eq</v>
      </c>
    </row>
    <row r="1299" spans="1:13" ht="13.8" customHeight="1" x14ac:dyDescent="0.3"/>
    <row r="1300" spans="1:13" ht="13.8" customHeight="1" x14ac:dyDescent="0.3"/>
    <row r="1301" spans="1:13" s="40" customFormat="1" ht="13.95" customHeight="1" x14ac:dyDescent="0.3">
      <c r="A1301" s="60" t="s">
        <v>820</v>
      </c>
      <c r="B1301" s="61"/>
      <c r="C1301" s="62"/>
      <c r="E1301" s="61"/>
    </row>
    <row r="1302" spans="1:13" ht="13.95" customHeight="1" x14ac:dyDescent="0.3"/>
    <row r="1303" spans="1:13" ht="13.95" customHeight="1" x14ac:dyDescent="0.3">
      <c r="F1303" s="64" t="str">
        <f xml:space="preserve"> F$129</f>
        <v>Volledig digitaal</v>
      </c>
      <c r="G1303" s="64">
        <f xml:space="preserve"> G$129</f>
        <v>0</v>
      </c>
      <c r="H1303" s="64" t="str">
        <f xml:space="preserve"> H$129</f>
        <v>0 = nee; 1 = ja</v>
      </c>
    </row>
    <row r="1304" spans="1:13" ht="13.95" customHeight="1" x14ac:dyDescent="0.3"/>
    <row r="1305" spans="1:13" s="49" customFormat="1" ht="13.95" customHeight="1" x14ac:dyDescent="0.3">
      <c r="B1305" s="53"/>
      <c r="C1305" s="57"/>
      <c r="D1305"/>
      <c r="E1305" s="53"/>
      <c r="F1305" s="46" t="str">
        <f xml:space="preserve"> 'Berekeningen (huidig)'!F$120</f>
        <v>Aantal huishoudens dat ongeadreseerd, normaal ontvangt</v>
      </c>
      <c r="G1305" s="106">
        <f xml:space="preserve"> 'Berekeningen (huidig)'!G$120</f>
        <v>36000</v>
      </c>
      <c r="H1305" s="46" t="str">
        <f xml:space="preserve"> 'Berekeningen (huidig)'!H$120</f>
        <v>huishoudens</v>
      </c>
      <c r="I1305"/>
      <c r="J1305" t="s">
        <v>1088</v>
      </c>
      <c r="K1305"/>
      <c r="L1305"/>
      <c r="M1305"/>
    </row>
    <row r="1306" spans="1:13" s="49" customFormat="1" ht="13.95" customHeight="1" x14ac:dyDescent="0.3">
      <c r="B1306" s="53"/>
      <c r="C1306" s="57"/>
      <c r="D1306"/>
      <c r="E1306" s="53"/>
      <c r="F1306" s="46" t="str">
        <f xml:space="preserve"> 'Berekeningen (huidig)'!F$121</f>
        <v>Aantal huishoudens dat ongeadreseerd, selectie ontvangt</v>
      </c>
      <c r="G1306" s="106">
        <f xml:space="preserve"> 'Berekeningen (huidig)'!G$121</f>
        <v>616</v>
      </c>
      <c r="H1306" s="46" t="str">
        <f xml:space="preserve"> 'Berekeningen (huidig)'!H$121</f>
        <v>huishoudens</v>
      </c>
      <c r="I1306"/>
      <c r="J1306"/>
      <c r="K1306"/>
      <c r="L1306"/>
      <c r="M1306"/>
    </row>
    <row r="1307" spans="1:13" s="49" customFormat="1" ht="13.95" customHeight="1" x14ac:dyDescent="0.3">
      <c r="B1307" s="53"/>
      <c r="C1307" s="57"/>
      <c r="D1307"/>
      <c r="E1307" s="53"/>
      <c r="F1307" s="46" t="str">
        <f xml:space="preserve"> 'Berekeningen (huidig)'!F$122</f>
        <v>Aantal huishoudens dat huis-aan-huis ontvangt</v>
      </c>
      <c r="G1307" s="106">
        <f xml:space="preserve"> 'Berekeningen (huidig)'!G$122</f>
        <v>51000</v>
      </c>
      <c r="H1307" s="46" t="str">
        <f xml:space="preserve"> 'Berekeningen (huidig)'!H$122</f>
        <v>huishoudens</v>
      </c>
      <c r="I1307"/>
      <c r="J1307"/>
      <c r="K1307"/>
      <c r="L1307"/>
      <c r="M1307"/>
    </row>
    <row r="1308" spans="1:13" s="49" customFormat="1" ht="13.95" customHeight="1" x14ac:dyDescent="0.3">
      <c r="B1308" s="53"/>
      <c r="C1308" s="57"/>
      <c r="D1308"/>
      <c r="E1308" s="53"/>
      <c r="F1308" s="46" t="str">
        <f xml:space="preserve"> Inputs!E$163</f>
        <v>Aantal minuten digitaal folders lezen</v>
      </c>
      <c r="G1308" s="46">
        <f xml:space="preserve"> Inputs!F$163</f>
        <v>13</v>
      </c>
      <c r="H1308" s="46" t="str">
        <f xml:space="preserve"> Inputs!G$163</f>
        <v>minuten / week</v>
      </c>
      <c r="I1308"/>
      <c r="J1308"/>
      <c r="K1308"/>
      <c r="L1308"/>
      <c r="M1308"/>
    </row>
    <row r="1309" spans="1:13" s="49" customFormat="1" ht="13.95" customHeight="1" x14ac:dyDescent="0.3">
      <c r="B1309" s="53"/>
      <c r="C1309" s="57"/>
      <c r="D1309"/>
      <c r="E1309" s="53"/>
      <c r="F1309" s="46" t="str">
        <f xml:space="preserve"> Inputs!E$164</f>
        <v>Aantal minuten digitaal huis-aan-huisbladen lezen</v>
      </c>
      <c r="G1309" s="46">
        <f xml:space="preserve"> Inputs!F$164</f>
        <v>26</v>
      </c>
      <c r="H1309" s="46" t="str">
        <f xml:space="preserve"> Inputs!G$164</f>
        <v>minuten / week</v>
      </c>
      <c r="I1309"/>
      <c r="J1309"/>
      <c r="K1309"/>
      <c r="L1309"/>
      <c r="M1309"/>
    </row>
    <row r="1310" spans="1:13" s="49" customFormat="1" ht="13.95" customHeight="1" x14ac:dyDescent="0.3">
      <c r="B1310" s="53"/>
      <c r="C1310" s="57"/>
      <c r="D1310"/>
      <c r="E1310" s="53"/>
      <c r="F1310" s="46" t="str">
        <f xml:space="preserve"> Inputs!E$11</f>
        <v>Aantal weken per jaar</v>
      </c>
      <c r="G1310" s="46">
        <f xml:space="preserve"> Inputs!F$11</f>
        <v>52</v>
      </c>
      <c r="H1310" s="46" t="str">
        <f xml:space="preserve"> Inputs!G$11</f>
        <v>weken / jaar</v>
      </c>
      <c r="I1310"/>
      <c r="J1310"/>
      <c r="K1310"/>
      <c r="L1310"/>
      <c r="M1310"/>
    </row>
    <row r="1311" spans="1:13" s="49" customFormat="1" ht="13.95" customHeight="1" x14ac:dyDescent="0.3">
      <c r="B1311" s="53"/>
      <c r="C1311" s="57"/>
      <c r="D1311"/>
      <c r="E1311" s="53"/>
      <c r="F1311" s="46" t="str">
        <f xml:space="preserve"> Inputs!E$13</f>
        <v>Aantal minuten per uur</v>
      </c>
      <c r="G1311" s="46">
        <f xml:space="preserve"> Inputs!F$13</f>
        <v>60</v>
      </c>
      <c r="H1311" s="46" t="str">
        <f xml:space="preserve"> Inputs!G$13</f>
        <v>minuten / uur</v>
      </c>
      <c r="I1311"/>
      <c r="J1311"/>
      <c r="K1311"/>
      <c r="L1311"/>
      <c r="M1311"/>
    </row>
    <row r="1312" spans="1:13" s="49" customFormat="1" ht="1.95" customHeight="1" x14ac:dyDescent="0.3">
      <c r="B1312" s="53"/>
      <c r="C1312" s="57"/>
      <c r="D1312"/>
      <c r="E1312" s="53"/>
      <c r="F1312" s="46"/>
      <c r="G1312" s="46"/>
      <c r="H1312" s="46"/>
      <c r="I1312"/>
      <c r="J1312"/>
      <c r="K1312"/>
      <c r="L1312"/>
      <c r="M1312"/>
    </row>
    <row r="1313" spans="2:13" s="49" customFormat="1" ht="13.95" customHeight="1" x14ac:dyDescent="0.3">
      <c r="B1313" s="53"/>
      <c r="C1313" s="57"/>
      <c r="D1313"/>
      <c r="E1313" s="53"/>
      <c r="F1313" t="s">
        <v>1622</v>
      </c>
      <c r="G1313" s="66">
        <f>(G1305+G1306)*G1308*G1310/G1311*G1303</f>
        <v>0</v>
      </c>
      <c r="H1313" t="s">
        <v>1091</v>
      </c>
      <c r="I1313"/>
      <c r="J1313"/>
      <c r="K1313"/>
      <c r="L1313"/>
      <c r="M1313"/>
    </row>
    <row r="1314" spans="2:13" s="49" customFormat="1" ht="13.95" customHeight="1" x14ac:dyDescent="0.3">
      <c r="B1314" s="53"/>
      <c r="C1314" s="57"/>
      <c r="D1314"/>
      <c r="E1314" s="53"/>
      <c r="F1314" t="s">
        <v>1623</v>
      </c>
      <c r="G1314" s="66">
        <f>G1307*G1309*G1310/G1311*G1303</f>
        <v>0</v>
      </c>
      <c r="H1314" t="s">
        <v>1091</v>
      </c>
      <c r="I1314"/>
      <c r="J1314"/>
      <c r="K1314"/>
      <c r="L1314"/>
      <c r="M1314"/>
    </row>
    <row r="1315" spans="2:13" s="49" customFormat="1" ht="13.95" customHeight="1" x14ac:dyDescent="0.3">
      <c r="B1315" s="53"/>
      <c r="C1315" s="57"/>
      <c r="D1315"/>
      <c r="E1315" s="53"/>
      <c r="F1315" t="s">
        <v>1624</v>
      </c>
      <c r="G1315" s="66">
        <f>G1313+G1314</f>
        <v>0</v>
      </c>
      <c r="H1315" t="s">
        <v>1091</v>
      </c>
      <c r="I1315"/>
      <c r="J1315"/>
      <c r="K1315"/>
      <c r="L1315"/>
      <c r="M1315"/>
    </row>
    <row r="1316" spans="2:13" s="49" customFormat="1" ht="13.95" customHeight="1" x14ac:dyDescent="0.3">
      <c r="B1316" s="53"/>
      <c r="C1316" s="57"/>
      <c r="D1316"/>
      <c r="E1316" s="53"/>
      <c r="F1316"/>
      <c r="G1316"/>
      <c r="H1316"/>
      <c r="I1316"/>
      <c r="J1316"/>
      <c r="K1316"/>
      <c r="L1316"/>
      <c r="M1316"/>
    </row>
    <row r="1317" spans="2:13" s="49" customFormat="1" ht="13.95" customHeight="1" x14ac:dyDescent="0.3">
      <c r="B1317" s="53"/>
      <c r="C1317" s="57"/>
      <c r="D1317"/>
      <c r="E1317" s="53"/>
      <c r="F1317" s="46" t="str">
        <f xml:space="preserve"> Inputs!E$166</f>
        <v>Impact laptopgebruik, hernieuwbare energie, biomassa</v>
      </c>
      <c r="G1317" s="46">
        <f xml:space="preserve"> Inputs!F$166</f>
        <v>6.9103000000000003E-3</v>
      </c>
      <c r="H1317" s="46" t="str">
        <f xml:space="preserve"> Inputs!G$166</f>
        <v>MJ-eq / uur</v>
      </c>
      <c r="I1317"/>
      <c r="J1317"/>
      <c r="K1317"/>
      <c r="L1317"/>
      <c r="M1317"/>
    </row>
    <row r="1318" spans="2:13" s="49" customFormat="1" ht="13.95" customHeight="1" x14ac:dyDescent="0.3">
      <c r="B1318" s="53"/>
      <c r="C1318" s="57"/>
      <c r="D1318"/>
      <c r="E1318" s="53"/>
      <c r="F1318" s="46" t="str">
        <f xml:space="preserve"> Inputs!E$167</f>
        <v>Impact laptopgebruik, hernieuwbare energie, geothermie</v>
      </c>
      <c r="G1318" s="46">
        <f xml:space="preserve"> Inputs!F$167</f>
        <v>5.9407000000000004E-4</v>
      </c>
      <c r="H1318" s="46" t="str">
        <f xml:space="preserve"> Inputs!G$167</f>
        <v>MJ-eq / uur</v>
      </c>
      <c r="I1318"/>
      <c r="J1318"/>
      <c r="K1318"/>
      <c r="L1318"/>
      <c r="M1318"/>
    </row>
    <row r="1319" spans="2:13" s="49" customFormat="1" ht="13.95" customHeight="1" x14ac:dyDescent="0.3">
      <c r="B1319" s="53"/>
      <c r="C1319" s="57"/>
      <c r="D1319"/>
      <c r="E1319" s="53"/>
      <c r="F1319" s="46" t="str">
        <f xml:space="preserve"> Inputs!E$168</f>
        <v>Impact laptopgebruik, hernieuwbare energie, zon</v>
      </c>
      <c r="G1319" s="46">
        <f xml:space="preserve"> Inputs!F$168</f>
        <v>1.7930000000000001E-3</v>
      </c>
      <c r="H1319" s="46" t="str">
        <f xml:space="preserve"> Inputs!G$168</f>
        <v>MJ-eq / uur</v>
      </c>
      <c r="I1319"/>
      <c r="J1319"/>
      <c r="K1319"/>
      <c r="L1319"/>
      <c r="M1319"/>
    </row>
    <row r="1320" spans="2:13" s="49" customFormat="1" ht="13.95" customHeight="1" x14ac:dyDescent="0.3">
      <c r="B1320" s="53"/>
      <c r="C1320" s="57"/>
      <c r="D1320"/>
      <c r="E1320" s="53"/>
      <c r="F1320" s="46" t="str">
        <f xml:space="preserve"> Inputs!E$169</f>
        <v>Impact laptopgebruik, hernieuwbare energie, water</v>
      </c>
      <c r="G1320" s="46">
        <f xml:space="preserve"> Inputs!F$169</f>
        <v>1.7895999999999999E-2</v>
      </c>
      <c r="H1320" s="46" t="str">
        <f xml:space="preserve"> Inputs!G$169</f>
        <v>MJ-eq / uur</v>
      </c>
      <c r="I1320"/>
      <c r="J1320"/>
      <c r="K1320"/>
      <c r="L1320"/>
      <c r="M1320"/>
    </row>
    <row r="1321" spans="2:13" s="49" customFormat="1" ht="13.95" customHeight="1" x14ac:dyDescent="0.3">
      <c r="B1321" s="53"/>
      <c r="C1321" s="57"/>
      <c r="D1321"/>
      <c r="E1321" s="53"/>
      <c r="F1321" s="46" t="str">
        <f xml:space="preserve"> Inputs!E$170</f>
        <v>Impact laptopgebruik, hernieuwbare energie, wind</v>
      </c>
      <c r="G1321" s="46">
        <f xml:space="preserve"> Inputs!F$170</f>
        <v>4.5989999999999998E-3</v>
      </c>
      <c r="H1321" s="46" t="str">
        <f xml:space="preserve"> Inputs!G$170</f>
        <v>MJ-eq / uur</v>
      </c>
      <c r="I1321"/>
      <c r="J1321"/>
      <c r="K1321"/>
      <c r="L1321"/>
      <c r="M1321"/>
    </row>
    <row r="1322" spans="2:13" s="49" customFormat="1" ht="1.95" customHeight="1" x14ac:dyDescent="0.3">
      <c r="B1322" s="53"/>
      <c r="C1322" s="57"/>
      <c r="D1322"/>
      <c r="E1322" s="53"/>
      <c r="F1322" s="46"/>
      <c r="G1322" s="46"/>
      <c r="H1322" s="46"/>
      <c r="I1322"/>
      <c r="J1322"/>
      <c r="K1322"/>
      <c r="L1322"/>
      <c r="M1322"/>
    </row>
    <row r="1323" spans="2:13" s="49" customFormat="1" ht="13.95" customHeight="1" x14ac:dyDescent="0.3">
      <c r="B1323" s="53"/>
      <c r="C1323" s="57"/>
      <c r="D1323"/>
      <c r="E1323" s="53"/>
      <c r="F1323" s="46" t="str">
        <f xml:space="preserve"> Inputs!E$172</f>
        <v>Impact laptopgebruik, niet-hernieuwbare energie, fossiel</v>
      </c>
      <c r="G1323" s="46">
        <f xml:space="preserve"> Inputs!F$172</f>
        <v>0.22800999999999999</v>
      </c>
      <c r="H1323" s="46" t="str">
        <f xml:space="preserve"> Inputs!G$172</f>
        <v>MJ-eq / uur</v>
      </c>
      <c r="I1323"/>
      <c r="J1323"/>
      <c r="K1323"/>
      <c r="L1323"/>
      <c r="M1323"/>
    </row>
    <row r="1324" spans="2:13" s="49" customFormat="1" ht="13.95" customHeight="1" x14ac:dyDescent="0.3">
      <c r="B1324" s="53"/>
      <c r="C1324" s="57"/>
      <c r="D1324"/>
      <c r="E1324" s="53"/>
      <c r="F1324" s="46" t="str">
        <f xml:space="preserve"> Inputs!E$173</f>
        <v>Impact laptopgebruik, niet-hernieuwbare energie, nucleair</v>
      </c>
      <c r="G1324" s="46">
        <f xml:space="preserve"> Inputs!F$173</f>
        <v>4.5830999999999997E-2</v>
      </c>
      <c r="H1324" s="46" t="str">
        <f xml:space="preserve"> Inputs!G$173</f>
        <v>MJ-eq / uur</v>
      </c>
      <c r="I1324"/>
      <c r="J1324"/>
      <c r="K1324"/>
      <c r="L1324"/>
      <c r="M1324"/>
    </row>
    <row r="1325" spans="2:13" s="49" customFormat="1" ht="13.95" customHeight="1" x14ac:dyDescent="0.3">
      <c r="B1325" s="53"/>
      <c r="C1325" s="57"/>
      <c r="D1325"/>
      <c r="E1325" s="53"/>
      <c r="F1325" s="46" t="str">
        <f xml:space="preserve"> Inputs!E$174</f>
        <v>Impact laptopgebruik, niet-hernieuwbare energie, oerbos</v>
      </c>
      <c r="G1325" s="46">
        <f xml:space="preserve"> Inputs!F$174</f>
        <v>2.7256000000000001E-5</v>
      </c>
      <c r="H1325" s="46" t="str">
        <f xml:space="preserve"> Inputs!G$174</f>
        <v>MJ-eq / uur</v>
      </c>
      <c r="I1325"/>
      <c r="J1325"/>
      <c r="K1325"/>
      <c r="L1325"/>
      <c r="M1325"/>
    </row>
    <row r="1326" spans="2:13" s="49" customFormat="1" ht="1.95" customHeight="1" x14ac:dyDescent="0.3">
      <c r="B1326" s="53"/>
      <c r="C1326" s="57"/>
      <c r="D1326"/>
      <c r="E1326" s="53"/>
      <c r="F1326" s="46"/>
      <c r="G1326" s="46"/>
      <c r="H1326" s="46"/>
      <c r="I1326"/>
      <c r="J1326"/>
      <c r="K1326"/>
      <c r="L1326"/>
      <c r="M1326"/>
    </row>
    <row r="1327" spans="2:13" s="49" customFormat="1" ht="13.95" customHeight="1" x14ac:dyDescent="0.3">
      <c r="B1327" s="53"/>
      <c r="C1327" s="57"/>
      <c r="D1327"/>
      <c r="E1327" s="53"/>
      <c r="F1327" s="46" t="str">
        <f xml:space="preserve"> Inputs!E$176</f>
        <v>Impact laptopgebruik, water</v>
      </c>
      <c r="G1327" s="46">
        <f xml:space="preserve"> Inputs!F$176</f>
        <v>2.2573999999999999E-4</v>
      </c>
      <c r="H1327" s="46" t="str">
        <f xml:space="preserve"> Inputs!G$176</f>
        <v>m3 / uur</v>
      </c>
      <c r="I1327"/>
      <c r="J1327"/>
      <c r="K1327"/>
      <c r="L1327"/>
      <c r="M1327"/>
    </row>
    <row r="1328" spans="2:13" s="49" customFormat="1" ht="1.95" customHeight="1" x14ac:dyDescent="0.3">
      <c r="B1328" s="53"/>
      <c r="C1328" s="57"/>
      <c r="D1328"/>
      <c r="E1328" s="53"/>
      <c r="F1328" s="46"/>
      <c r="G1328" s="46"/>
      <c r="H1328" s="46"/>
      <c r="I1328"/>
      <c r="J1328"/>
      <c r="K1328"/>
      <c r="L1328"/>
      <c r="M1328"/>
    </row>
    <row r="1329" spans="2:13" s="49" customFormat="1" ht="13.95" customHeight="1" x14ac:dyDescent="0.3">
      <c r="B1329" s="53"/>
      <c r="C1329" s="57"/>
      <c r="D1329"/>
      <c r="E1329" s="53"/>
      <c r="F1329" s="46" t="str">
        <f xml:space="preserve"> Inputs!E$178</f>
        <v>Impact laptopgebruik, GWP100</v>
      </c>
      <c r="G1329" s="46">
        <f xml:space="preserve"> Inputs!F$178</f>
        <v>1.8769000000000001E-2</v>
      </c>
      <c r="H1329" s="46" t="str">
        <f xml:space="preserve"> Inputs!G$178</f>
        <v>kg CO2-eq / uur</v>
      </c>
      <c r="I1329"/>
      <c r="J1329"/>
      <c r="K1329"/>
      <c r="L1329"/>
      <c r="M1329"/>
    </row>
    <row r="1330" spans="2:13" s="49" customFormat="1" ht="13.95" customHeight="1" x14ac:dyDescent="0.3">
      <c r="B1330" s="53"/>
      <c r="C1330" s="57"/>
      <c r="D1330"/>
      <c r="E1330" s="53"/>
      <c r="F1330"/>
      <c r="G1330"/>
      <c r="H1330"/>
      <c r="I1330"/>
      <c r="J1330"/>
      <c r="K1330"/>
      <c r="L1330"/>
      <c r="M1330"/>
    </row>
    <row r="1331" spans="2:13" s="49" customFormat="1" ht="13.95" customHeight="1" x14ac:dyDescent="0.3">
      <c r="B1331" s="53"/>
      <c r="C1331" s="57"/>
      <c r="D1331"/>
      <c r="E1331" s="53"/>
      <c r="F1331" s="68" t="s">
        <v>1092</v>
      </c>
      <c r="G1331" s="75">
        <f>SUM(G1317:G1321)</f>
        <v>3.179237E-2</v>
      </c>
      <c r="H1331" s="68" t="s">
        <v>889</v>
      </c>
      <c r="I1331"/>
      <c r="J1331"/>
      <c r="K1331"/>
      <c r="L1331"/>
      <c r="M1331"/>
    </row>
    <row r="1332" spans="2:13" s="49" customFormat="1" ht="13.95" customHeight="1" x14ac:dyDescent="0.3">
      <c r="B1332" s="53"/>
      <c r="C1332" s="57"/>
      <c r="D1332"/>
      <c r="E1332" s="53"/>
      <c r="F1332" s="68" t="s">
        <v>1093</v>
      </c>
      <c r="G1332" s="75">
        <f>SUM(G1323:G1325)</f>
        <v>0.27386825599999998</v>
      </c>
      <c r="H1332" s="68" t="s">
        <v>889</v>
      </c>
      <c r="I1332"/>
      <c r="J1332"/>
      <c r="K1332"/>
      <c r="L1332"/>
      <c r="M1332"/>
    </row>
    <row r="1333" spans="2:13" s="49" customFormat="1" ht="13.95" customHeight="1" x14ac:dyDescent="0.3">
      <c r="B1333" s="53"/>
      <c r="C1333" s="57"/>
      <c r="D1333"/>
      <c r="E1333" s="53"/>
      <c r="F1333" s="68" t="s">
        <v>1094</v>
      </c>
      <c r="G1333" s="75">
        <f>G1327</f>
        <v>2.2573999999999999E-4</v>
      </c>
      <c r="H1333" s="68" t="s">
        <v>890</v>
      </c>
      <c r="I1333"/>
      <c r="J1333"/>
      <c r="K1333"/>
      <c r="L1333"/>
      <c r="M1333"/>
    </row>
    <row r="1334" spans="2:13" s="49" customFormat="1" ht="13.95" customHeight="1" x14ac:dyDescent="0.3">
      <c r="B1334" s="53"/>
      <c r="C1334" s="57"/>
      <c r="D1334"/>
      <c r="E1334" s="53"/>
      <c r="F1334" s="68" t="s">
        <v>1095</v>
      </c>
      <c r="G1334" s="75">
        <f>G1329</f>
        <v>1.8769000000000001E-2</v>
      </c>
      <c r="H1334" s="68" t="s">
        <v>891</v>
      </c>
      <c r="I1334"/>
      <c r="J1334"/>
      <c r="K1334"/>
      <c r="L1334"/>
      <c r="M1334"/>
    </row>
    <row r="1335" spans="2:13" s="49" customFormat="1" ht="1.95" customHeight="1" x14ac:dyDescent="0.3">
      <c r="B1335" s="53"/>
      <c r="C1335" s="57"/>
      <c r="D1335"/>
      <c r="E1335" s="53"/>
      <c r="F1335"/>
      <c r="G1335"/>
      <c r="H1335"/>
      <c r="I1335"/>
      <c r="J1335"/>
      <c r="K1335"/>
      <c r="L1335"/>
      <c r="M1335"/>
    </row>
    <row r="1336" spans="2:13" s="49" customFormat="1" ht="13.95" customHeight="1" x14ac:dyDescent="0.3">
      <c r="B1336" s="53"/>
      <c r="C1336" s="57"/>
      <c r="D1336"/>
      <c r="E1336" s="53"/>
      <c r="F1336" s="64" t="str">
        <f xml:space="preserve"> F$1315</f>
        <v xml:space="preserve">Totaal uren folders en HAH jaar </v>
      </c>
      <c r="G1336" s="67">
        <f xml:space="preserve"> G$1315</f>
        <v>0</v>
      </c>
      <c r="H1336" s="64" t="str">
        <f xml:space="preserve"> H$1315</f>
        <v>uur folder lezen / jaar</v>
      </c>
      <c r="I1336"/>
      <c r="J1336"/>
      <c r="K1336"/>
      <c r="L1336"/>
      <c r="M1336"/>
    </row>
    <row r="1337" spans="2:13" s="49" customFormat="1" ht="1.95" customHeight="1" x14ac:dyDescent="0.3">
      <c r="B1337" s="53"/>
      <c r="C1337" s="57"/>
      <c r="D1337"/>
      <c r="E1337" s="53"/>
      <c r="F1337"/>
      <c r="G1337"/>
      <c r="H1337"/>
      <c r="I1337"/>
      <c r="J1337"/>
      <c r="K1337"/>
      <c r="L1337"/>
      <c r="M1337"/>
    </row>
    <row r="1338" spans="2:13" s="49" customFormat="1" ht="13.95" customHeight="1" x14ac:dyDescent="0.3">
      <c r="B1338" s="53"/>
      <c r="C1338" s="57"/>
      <c r="D1338"/>
      <c r="E1338" s="53"/>
      <c r="F1338" s="68" t="s">
        <v>1096</v>
      </c>
      <c r="G1338" s="101">
        <f>G1331*$G$1336</f>
        <v>0</v>
      </c>
      <c r="H1338" s="64" t="str">
        <f xml:space="preserve"> H$710</f>
        <v>MJ-eq</v>
      </c>
      <c r="I1338"/>
      <c r="J1338"/>
      <c r="K1338"/>
      <c r="L1338"/>
      <c r="M1338"/>
    </row>
    <row r="1339" spans="2:13" s="49" customFormat="1" ht="13.95" customHeight="1" x14ac:dyDescent="0.3">
      <c r="B1339" s="53"/>
      <c r="C1339" s="57"/>
      <c r="D1339"/>
      <c r="E1339" s="53"/>
      <c r="F1339" s="68" t="s">
        <v>1097</v>
      </c>
      <c r="G1339" s="101">
        <f t="shared" ref="G1339:G1341" si="37">G1332*$G$1336</f>
        <v>0</v>
      </c>
      <c r="H1339" s="64" t="str">
        <f xml:space="preserve"> H$711</f>
        <v>MJ-eq</v>
      </c>
      <c r="I1339"/>
      <c r="J1339"/>
      <c r="K1339"/>
      <c r="L1339"/>
      <c r="M1339"/>
    </row>
    <row r="1340" spans="2:13" s="49" customFormat="1" ht="13.95" customHeight="1" x14ac:dyDescent="0.3">
      <c r="B1340" s="53"/>
      <c r="C1340" s="57"/>
      <c r="D1340"/>
      <c r="E1340" s="53"/>
      <c r="F1340" s="68" t="s">
        <v>1098</v>
      </c>
      <c r="G1340" s="101">
        <f t="shared" si="37"/>
        <v>0</v>
      </c>
      <c r="H1340" s="64" t="str">
        <f xml:space="preserve"> H$712</f>
        <v>m3</v>
      </c>
      <c r="I1340"/>
      <c r="J1340"/>
      <c r="K1340"/>
      <c r="L1340"/>
      <c r="M1340"/>
    </row>
    <row r="1341" spans="2:13" s="49" customFormat="1" ht="13.95" customHeight="1" x14ac:dyDescent="0.3">
      <c r="B1341" s="53"/>
      <c r="C1341" s="57"/>
      <c r="D1341"/>
      <c r="E1341" s="53"/>
      <c r="F1341" s="68" t="s">
        <v>1099</v>
      </c>
      <c r="G1341" s="101">
        <f t="shared" si="37"/>
        <v>0</v>
      </c>
      <c r="H1341" s="64" t="str">
        <f xml:space="preserve"> H$713</f>
        <v>kg CO2-eq</v>
      </c>
      <c r="I1341"/>
      <c r="J1341"/>
      <c r="K1341"/>
      <c r="L1341"/>
      <c r="M1341"/>
    </row>
    <row r="1342" spans="2:13" s="49" customFormat="1" ht="13.95" customHeight="1" x14ac:dyDescent="0.3">
      <c r="B1342" s="53"/>
      <c r="C1342" s="57"/>
      <c r="D1342"/>
      <c r="E1342" s="53"/>
      <c r="F1342"/>
      <c r="G1342"/>
      <c r="H1342"/>
      <c r="I1342"/>
      <c r="J1342"/>
      <c r="K1342"/>
      <c r="L1342"/>
      <c r="M1342"/>
    </row>
    <row r="1343" spans="2:13" s="49" customFormat="1" ht="13.95" customHeight="1" x14ac:dyDescent="0.3">
      <c r="B1343" s="53"/>
      <c r="C1343" s="57"/>
      <c r="D1343"/>
      <c r="E1343" s="53"/>
      <c r="F1343"/>
      <c r="G1343"/>
      <c r="H1343"/>
      <c r="I1343"/>
      <c r="J1343"/>
      <c r="K1343"/>
      <c r="L1343"/>
      <c r="M1343"/>
    </row>
    <row r="1344" spans="2:13" s="49" customFormat="1" ht="13.95" customHeight="1" x14ac:dyDescent="0.3">
      <c r="B1344" s="53"/>
      <c r="C1344" s="57"/>
      <c r="D1344"/>
      <c r="E1344" s="53"/>
      <c r="F1344"/>
      <c r="G1344"/>
      <c r="H1344"/>
      <c r="I1344"/>
      <c r="J1344"/>
      <c r="K1344"/>
      <c r="L1344"/>
      <c r="M1344"/>
    </row>
    <row r="1345" spans="2:13" s="49" customFormat="1" ht="13.95" customHeight="1" x14ac:dyDescent="0.3">
      <c r="B1345" s="53"/>
      <c r="C1345" s="57"/>
      <c r="D1345"/>
      <c r="E1345" s="53"/>
      <c r="F1345"/>
      <c r="G1345"/>
      <c r="H1345"/>
      <c r="I1345"/>
      <c r="J1345"/>
      <c r="K1345"/>
      <c r="L1345"/>
      <c r="M1345"/>
    </row>
    <row r="1346" spans="2:13" s="49" customFormat="1" ht="13.95" customHeight="1" x14ac:dyDescent="0.3">
      <c r="B1346" s="53"/>
      <c r="C1346" s="57"/>
      <c r="D1346"/>
      <c r="E1346" s="53"/>
      <c r="F1346"/>
      <c r="G1346"/>
      <c r="H1346"/>
      <c r="I1346"/>
      <c r="J1346"/>
      <c r="K1346"/>
      <c r="L1346"/>
      <c r="M1346"/>
    </row>
    <row r="1347" spans="2:13" s="49" customFormat="1" ht="13.95" customHeight="1" x14ac:dyDescent="0.3">
      <c r="B1347" s="53"/>
      <c r="C1347" s="57"/>
      <c r="D1347"/>
      <c r="E1347" s="53"/>
      <c r="F1347"/>
      <c r="G1347"/>
      <c r="H1347"/>
      <c r="I1347"/>
      <c r="J1347"/>
      <c r="K1347"/>
      <c r="L1347"/>
      <c r="M1347"/>
    </row>
    <row r="1348" spans="2:13" s="49" customFormat="1" ht="13.95" customHeight="1" x14ac:dyDescent="0.3">
      <c r="B1348" s="53"/>
      <c r="C1348" s="57"/>
      <c r="D1348"/>
      <c r="E1348" s="53"/>
      <c r="F1348"/>
      <c r="G1348"/>
      <c r="H1348"/>
      <c r="I1348"/>
      <c r="J1348"/>
      <c r="K1348"/>
      <c r="L1348"/>
      <c r="M1348"/>
    </row>
    <row r="1349" spans="2:13" s="49" customFormat="1" ht="13.95" customHeight="1" x14ac:dyDescent="0.3">
      <c r="B1349" s="53"/>
      <c r="C1349" s="57"/>
      <c r="D1349"/>
      <c r="E1349" s="53"/>
      <c r="F1349"/>
      <c r="G1349"/>
      <c r="H1349"/>
      <c r="I1349"/>
      <c r="J1349"/>
      <c r="K1349"/>
      <c r="L1349"/>
      <c r="M1349"/>
    </row>
    <row r="1350" spans="2:13" s="49" customFormat="1" ht="13.95" customHeight="1" x14ac:dyDescent="0.3">
      <c r="B1350" s="53"/>
      <c r="C1350" s="57"/>
      <c r="D1350"/>
      <c r="E1350" s="53"/>
      <c r="F1350"/>
      <c r="G1350"/>
      <c r="H1350"/>
      <c r="I1350"/>
      <c r="J1350"/>
      <c r="K1350"/>
      <c r="L1350"/>
      <c r="M1350"/>
    </row>
    <row r="1351" spans="2:13" s="49" customFormat="1" ht="13.95" customHeight="1" x14ac:dyDescent="0.3">
      <c r="B1351" s="53"/>
      <c r="C1351" s="57"/>
      <c r="D1351"/>
      <c r="E1351" s="53"/>
      <c r="F1351"/>
      <c r="G1351"/>
      <c r="H1351"/>
      <c r="I1351"/>
      <c r="J1351"/>
      <c r="K1351"/>
      <c r="L1351"/>
      <c r="M1351"/>
    </row>
    <row r="1352" spans="2:13" s="49" customFormat="1" ht="13.95" customHeight="1" x14ac:dyDescent="0.3">
      <c r="B1352" s="53"/>
      <c r="C1352" s="57"/>
      <c r="D1352"/>
      <c r="E1352" s="53"/>
      <c r="F1352"/>
      <c r="G1352"/>
      <c r="H1352"/>
      <c r="I1352"/>
      <c r="J1352"/>
      <c r="K1352"/>
      <c r="L1352"/>
      <c r="M1352"/>
    </row>
    <row r="1353" spans="2:13" s="49" customFormat="1" ht="13.95" customHeight="1" x14ac:dyDescent="0.3">
      <c r="B1353" s="53"/>
      <c r="C1353" s="57"/>
      <c r="D1353"/>
      <c r="E1353" s="53"/>
      <c r="F1353"/>
      <c r="G1353"/>
      <c r="H1353"/>
      <c r="I1353"/>
      <c r="J1353"/>
      <c r="K1353"/>
      <c r="L1353"/>
      <c r="M1353"/>
    </row>
    <row r="1354" spans="2:13" s="49" customFormat="1" ht="13.95" customHeight="1" x14ac:dyDescent="0.3">
      <c r="B1354" s="53"/>
      <c r="C1354" s="57"/>
      <c r="D1354"/>
      <c r="E1354" s="53"/>
      <c r="F1354"/>
      <c r="G1354"/>
      <c r="H1354"/>
      <c r="I1354"/>
      <c r="J1354"/>
      <c r="K1354"/>
      <c r="L1354"/>
      <c r="M1354"/>
    </row>
    <row r="1355" spans="2:13" s="49" customFormat="1" ht="13.95" customHeight="1" x14ac:dyDescent="0.3">
      <c r="B1355" s="53"/>
      <c r="C1355" s="57"/>
      <c r="D1355"/>
      <c r="E1355" s="53"/>
      <c r="F1355"/>
      <c r="G1355"/>
      <c r="H1355"/>
      <c r="I1355"/>
      <c r="J1355"/>
      <c r="K1355"/>
      <c r="L1355"/>
      <c r="M1355"/>
    </row>
    <row r="1356" spans="2:13" s="49" customFormat="1" ht="13.95" customHeight="1" x14ac:dyDescent="0.3">
      <c r="B1356" s="53"/>
      <c r="C1356" s="57"/>
      <c r="D1356"/>
      <c r="E1356" s="53"/>
      <c r="F1356"/>
      <c r="G1356"/>
      <c r="H1356"/>
      <c r="I1356"/>
      <c r="J1356"/>
      <c r="K1356"/>
      <c r="L1356"/>
      <c r="M1356"/>
    </row>
    <row r="1357" spans="2:13" s="49" customFormat="1" ht="13.95" customHeight="1" x14ac:dyDescent="0.3">
      <c r="B1357" s="53"/>
      <c r="C1357" s="57"/>
      <c r="D1357"/>
      <c r="E1357" s="53"/>
      <c r="F1357"/>
      <c r="G1357"/>
      <c r="H1357"/>
      <c r="I1357"/>
      <c r="J1357"/>
      <c r="K1357"/>
      <c r="L1357"/>
      <c r="M1357"/>
    </row>
    <row r="1358" spans="2:13" s="49" customFormat="1" ht="13.95" customHeight="1" x14ac:dyDescent="0.3">
      <c r="B1358" s="53"/>
      <c r="C1358" s="57"/>
      <c r="D1358"/>
      <c r="E1358" s="53"/>
      <c r="F1358"/>
      <c r="G1358"/>
      <c r="H1358"/>
      <c r="I1358"/>
      <c r="J1358"/>
      <c r="K1358"/>
      <c r="L1358"/>
      <c r="M1358"/>
    </row>
    <row r="1359" spans="2:13" s="49" customFormat="1" ht="13.95" customHeight="1" x14ac:dyDescent="0.3">
      <c r="B1359" s="53"/>
      <c r="C1359" s="57"/>
      <c r="D1359"/>
      <c r="E1359" s="53"/>
      <c r="F1359"/>
      <c r="G1359"/>
      <c r="H1359"/>
      <c r="I1359"/>
      <c r="J1359"/>
      <c r="K1359"/>
      <c r="L1359"/>
      <c r="M1359"/>
    </row>
    <row r="1360" spans="2:13" s="49" customFormat="1" ht="13.95" customHeight="1" x14ac:dyDescent="0.3">
      <c r="B1360" s="53"/>
      <c r="C1360" s="57"/>
      <c r="D1360"/>
      <c r="E1360" s="53"/>
      <c r="F1360"/>
      <c r="G1360"/>
      <c r="H1360"/>
      <c r="I1360"/>
      <c r="J1360"/>
      <c r="K1360"/>
      <c r="L1360"/>
      <c r="M1360"/>
    </row>
    <row r="1361" spans="2:13" s="49" customFormat="1" ht="13.95" customHeight="1" x14ac:dyDescent="0.3">
      <c r="B1361" s="53"/>
      <c r="C1361" s="57"/>
      <c r="D1361"/>
      <c r="E1361" s="53"/>
      <c r="F1361"/>
      <c r="G1361"/>
      <c r="H1361"/>
      <c r="I1361"/>
      <c r="J1361"/>
      <c r="K1361"/>
      <c r="L1361"/>
      <c r="M1361"/>
    </row>
    <row r="1362" spans="2:13" s="49" customFormat="1" ht="13.95" customHeight="1" x14ac:dyDescent="0.3">
      <c r="B1362" s="53"/>
      <c r="C1362" s="57"/>
      <c r="D1362"/>
      <c r="E1362" s="53"/>
      <c r="F1362"/>
      <c r="G1362"/>
      <c r="H1362"/>
      <c r="I1362"/>
      <c r="J1362"/>
      <c r="K1362"/>
      <c r="L1362"/>
      <c r="M1362"/>
    </row>
    <row r="1363" spans="2:13" s="49" customFormat="1" ht="13.95" customHeight="1" x14ac:dyDescent="0.3">
      <c r="B1363" s="53"/>
      <c r="C1363" s="57"/>
      <c r="D1363"/>
      <c r="E1363" s="53"/>
      <c r="F1363"/>
      <c r="G1363"/>
      <c r="H1363"/>
      <c r="I1363"/>
      <c r="J1363"/>
      <c r="K1363"/>
      <c r="L1363"/>
      <c r="M1363"/>
    </row>
    <row r="1364" spans="2:13" s="49" customFormat="1" ht="13.95" customHeight="1" x14ac:dyDescent="0.3">
      <c r="B1364" s="53"/>
      <c r="C1364" s="57"/>
      <c r="D1364"/>
      <c r="E1364" s="53"/>
      <c r="F1364"/>
      <c r="G1364"/>
      <c r="H1364"/>
      <c r="I1364"/>
      <c r="J1364"/>
      <c r="K1364"/>
      <c r="L1364"/>
      <c r="M1364"/>
    </row>
    <row r="1365" spans="2:13" s="49" customFormat="1" ht="13.95" customHeight="1" x14ac:dyDescent="0.3">
      <c r="B1365" s="53"/>
      <c r="C1365" s="57"/>
      <c r="D1365"/>
      <c r="E1365" s="53"/>
      <c r="F1365"/>
      <c r="G1365"/>
      <c r="H1365"/>
      <c r="I1365"/>
      <c r="J1365"/>
      <c r="K1365"/>
      <c r="L1365"/>
      <c r="M1365"/>
    </row>
    <row r="1366" spans="2:13" s="49" customFormat="1" ht="13.95" customHeight="1" x14ac:dyDescent="0.3">
      <c r="B1366" s="53"/>
      <c r="C1366" s="57"/>
      <c r="D1366"/>
      <c r="E1366" s="53"/>
      <c r="F1366"/>
      <c r="G1366"/>
      <c r="H1366"/>
      <c r="I1366"/>
      <c r="J1366"/>
      <c r="K1366"/>
      <c r="L1366"/>
      <c r="M1366"/>
    </row>
    <row r="1367" spans="2:13" s="49" customFormat="1" ht="13.95" customHeight="1" x14ac:dyDescent="0.3">
      <c r="B1367" s="53"/>
      <c r="C1367" s="57"/>
      <c r="D1367"/>
      <c r="E1367" s="53"/>
      <c r="F1367"/>
      <c r="G1367"/>
      <c r="H1367"/>
      <c r="I1367"/>
      <c r="J1367"/>
      <c r="K1367"/>
      <c r="L1367"/>
      <c r="M1367"/>
    </row>
    <row r="1368" spans="2:13" s="49" customFormat="1" ht="13.95" customHeight="1" x14ac:dyDescent="0.3">
      <c r="B1368" s="53"/>
      <c r="C1368" s="57"/>
      <c r="D1368"/>
      <c r="E1368" s="53"/>
      <c r="F1368"/>
      <c r="G1368"/>
      <c r="H1368"/>
      <c r="I1368"/>
      <c r="J1368"/>
      <c r="K1368"/>
      <c r="L1368"/>
      <c r="M1368"/>
    </row>
    <row r="1369" spans="2:13" s="49" customFormat="1" ht="13.95" customHeight="1" x14ac:dyDescent="0.3">
      <c r="B1369" s="53"/>
      <c r="C1369" s="57"/>
      <c r="D1369"/>
      <c r="E1369" s="53"/>
      <c r="F1369"/>
      <c r="G1369"/>
      <c r="H1369"/>
      <c r="I1369"/>
      <c r="J1369"/>
      <c r="K1369"/>
      <c r="L1369"/>
      <c r="M1369"/>
    </row>
    <row r="1370" spans="2:13" s="49" customFormat="1" ht="13.95" customHeight="1" x14ac:dyDescent="0.3">
      <c r="B1370" s="53"/>
      <c r="C1370" s="57"/>
      <c r="D1370"/>
      <c r="E1370" s="53"/>
      <c r="F1370"/>
      <c r="G1370"/>
      <c r="H1370"/>
      <c r="I1370"/>
      <c r="J1370"/>
      <c r="K1370"/>
      <c r="L1370"/>
      <c r="M1370"/>
    </row>
    <row r="1371" spans="2:13" s="49" customFormat="1" ht="13.95" customHeight="1" x14ac:dyDescent="0.3">
      <c r="B1371" s="53"/>
      <c r="C1371" s="57"/>
      <c r="D1371"/>
      <c r="E1371" s="53"/>
      <c r="F1371"/>
      <c r="G1371"/>
      <c r="H1371"/>
      <c r="I1371"/>
      <c r="J1371"/>
      <c r="K1371"/>
      <c r="L1371"/>
      <c r="M1371"/>
    </row>
    <row r="1372" spans="2:13" s="49" customFormat="1" ht="13.95" customHeight="1" x14ac:dyDescent="0.3">
      <c r="B1372" s="53"/>
      <c r="C1372" s="57"/>
      <c r="D1372"/>
      <c r="E1372" s="53"/>
      <c r="F1372"/>
      <c r="G1372"/>
      <c r="H1372"/>
      <c r="I1372"/>
      <c r="J1372"/>
      <c r="K1372"/>
      <c r="L1372"/>
      <c r="M1372"/>
    </row>
    <row r="1373" spans="2:13" s="49" customFormat="1" ht="13.95" customHeight="1" x14ac:dyDescent="0.3">
      <c r="B1373" s="53"/>
      <c r="C1373" s="57"/>
      <c r="D1373"/>
      <c r="E1373" s="53"/>
      <c r="F1373"/>
      <c r="G1373"/>
      <c r="H1373"/>
      <c r="I1373"/>
      <c r="J1373"/>
      <c r="K1373"/>
      <c r="L1373"/>
      <c r="M1373"/>
    </row>
    <row r="1374" spans="2:13" s="49" customFormat="1" ht="13.95" customHeight="1" x14ac:dyDescent="0.3">
      <c r="B1374" s="53"/>
      <c r="C1374" s="57"/>
      <c r="D1374"/>
      <c r="E1374" s="53"/>
      <c r="F1374"/>
      <c r="G1374"/>
      <c r="H1374"/>
      <c r="I1374"/>
      <c r="J1374"/>
      <c r="K1374"/>
      <c r="L1374"/>
      <c r="M1374"/>
    </row>
    <row r="1375" spans="2:13" s="49" customFormat="1" ht="13.95" customHeight="1" x14ac:dyDescent="0.3">
      <c r="B1375" s="53"/>
      <c r="C1375" s="57"/>
      <c r="D1375"/>
      <c r="E1375" s="53"/>
      <c r="F1375"/>
      <c r="G1375"/>
      <c r="H1375"/>
      <c r="I1375"/>
      <c r="J1375"/>
      <c r="K1375"/>
      <c r="L1375"/>
      <c r="M1375"/>
    </row>
    <row r="1376" spans="2:13" s="49" customFormat="1" ht="13.95" customHeight="1" x14ac:dyDescent="0.3">
      <c r="B1376" s="53"/>
      <c r="C1376" s="57"/>
      <c r="D1376"/>
      <c r="E1376" s="53"/>
      <c r="F1376"/>
      <c r="G1376"/>
      <c r="H1376"/>
      <c r="I1376"/>
      <c r="J1376"/>
      <c r="K1376"/>
      <c r="L1376"/>
      <c r="M1376"/>
    </row>
    <row r="1377" spans="2:13" s="49" customFormat="1" ht="13.95" customHeight="1" x14ac:dyDescent="0.3">
      <c r="B1377" s="53"/>
      <c r="C1377" s="57"/>
      <c r="D1377"/>
      <c r="E1377" s="53"/>
      <c r="F1377"/>
      <c r="G1377"/>
      <c r="H1377"/>
      <c r="I1377"/>
      <c r="J1377"/>
      <c r="K1377"/>
      <c r="L1377"/>
      <c r="M1377"/>
    </row>
    <row r="1378" spans="2:13" s="49" customFormat="1" ht="13.95" customHeight="1" x14ac:dyDescent="0.3">
      <c r="B1378" s="53"/>
      <c r="C1378" s="57"/>
      <c r="D1378"/>
      <c r="E1378" s="53"/>
      <c r="F1378"/>
      <c r="G1378"/>
      <c r="H1378"/>
      <c r="I1378"/>
      <c r="J1378"/>
      <c r="K1378"/>
      <c r="L1378"/>
      <c r="M1378"/>
    </row>
    <row r="1379" spans="2:13" s="49" customFormat="1" ht="13.95" customHeight="1" x14ac:dyDescent="0.3">
      <c r="B1379" s="53"/>
      <c r="C1379" s="57"/>
      <c r="D1379"/>
      <c r="E1379" s="53"/>
      <c r="F1379"/>
      <c r="G1379"/>
      <c r="H1379"/>
      <c r="I1379"/>
      <c r="J1379"/>
      <c r="K1379"/>
      <c r="L1379"/>
      <c r="M1379"/>
    </row>
    <row r="1380" spans="2:13" s="49" customFormat="1" ht="13.95" customHeight="1" x14ac:dyDescent="0.3">
      <c r="B1380" s="53"/>
      <c r="C1380" s="57"/>
      <c r="D1380"/>
      <c r="E1380" s="53"/>
      <c r="F1380"/>
      <c r="G1380"/>
      <c r="H1380"/>
      <c r="I1380"/>
      <c r="J1380"/>
      <c r="K1380"/>
      <c r="L1380"/>
      <c r="M1380"/>
    </row>
    <row r="1381" spans="2:13" s="49" customFormat="1" ht="13.95" customHeight="1" x14ac:dyDescent="0.3">
      <c r="B1381" s="53"/>
      <c r="C1381" s="57"/>
      <c r="D1381"/>
      <c r="E1381" s="53"/>
      <c r="F1381"/>
      <c r="G1381"/>
      <c r="H1381"/>
      <c r="I1381"/>
      <c r="J1381"/>
      <c r="K1381"/>
      <c r="L1381"/>
      <c r="M1381"/>
    </row>
    <row r="1382" spans="2:13" s="49" customFormat="1" ht="13.95" customHeight="1" x14ac:dyDescent="0.3">
      <c r="B1382" s="53"/>
      <c r="C1382" s="57"/>
      <c r="D1382"/>
      <c r="E1382" s="53"/>
      <c r="F1382"/>
      <c r="G1382"/>
      <c r="H1382"/>
      <c r="I1382"/>
      <c r="J1382"/>
      <c r="K1382"/>
      <c r="L1382"/>
      <c r="M1382"/>
    </row>
    <row r="1383" spans="2:13" s="49" customFormat="1" ht="13.95" customHeight="1" x14ac:dyDescent="0.3">
      <c r="B1383" s="53"/>
      <c r="C1383" s="57"/>
      <c r="D1383"/>
      <c r="E1383" s="53"/>
      <c r="F1383"/>
      <c r="G1383"/>
      <c r="H1383"/>
      <c r="I1383"/>
      <c r="J1383"/>
      <c r="K1383"/>
      <c r="L1383"/>
      <c r="M1383"/>
    </row>
    <row r="1384" spans="2:13" s="49" customFormat="1" ht="13.95" customHeight="1" x14ac:dyDescent="0.3">
      <c r="B1384" s="53"/>
      <c r="C1384" s="57"/>
      <c r="D1384"/>
      <c r="E1384" s="53"/>
      <c r="F1384"/>
      <c r="G1384"/>
      <c r="H1384"/>
      <c r="I1384"/>
      <c r="J1384"/>
      <c r="K1384"/>
      <c r="L1384"/>
      <c r="M1384"/>
    </row>
    <row r="1385" spans="2:13" s="49" customFormat="1" ht="13.95" customHeight="1" x14ac:dyDescent="0.3">
      <c r="B1385" s="53"/>
      <c r="C1385" s="57"/>
      <c r="D1385"/>
      <c r="E1385" s="53"/>
      <c r="F1385"/>
      <c r="G1385"/>
      <c r="H1385"/>
      <c r="I1385"/>
      <c r="J1385"/>
      <c r="K1385"/>
      <c r="L1385"/>
      <c r="M1385"/>
    </row>
    <row r="1386" spans="2:13" s="49" customFormat="1" ht="13.95" customHeight="1" x14ac:dyDescent="0.3">
      <c r="B1386" s="53"/>
      <c r="C1386" s="57"/>
      <c r="D1386"/>
      <c r="E1386" s="53"/>
      <c r="F1386"/>
      <c r="G1386"/>
      <c r="H1386"/>
      <c r="I1386"/>
      <c r="J1386"/>
      <c r="K1386"/>
      <c r="L1386"/>
      <c r="M1386"/>
    </row>
    <row r="1387" spans="2:13" s="49" customFormat="1" ht="13.95" customHeight="1" x14ac:dyDescent="0.3">
      <c r="B1387" s="53"/>
      <c r="C1387" s="57"/>
      <c r="D1387"/>
      <c r="E1387" s="53"/>
      <c r="F1387"/>
      <c r="G1387"/>
      <c r="H1387"/>
      <c r="I1387"/>
      <c r="J1387"/>
      <c r="K1387"/>
      <c r="L1387"/>
      <c r="M1387"/>
    </row>
    <row r="1388" spans="2:13" s="49" customFormat="1" ht="13.95" customHeight="1" x14ac:dyDescent="0.3">
      <c r="B1388" s="53"/>
      <c r="C1388" s="57"/>
      <c r="D1388"/>
      <c r="E1388" s="53"/>
      <c r="F1388"/>
      <c r="G1388"/>
      <c r="H1388"/>
      <c r="I1388"/>
      <c r="J1388"/>
      <c r="K1388"/>
      <c r="L1388"/>
      <c r="M1388"/>
    </row>
    <row r="1389" spans="2:13" s="49" customFormat="1" ht="13.95" customHeight="1" x14ac:dyDescent="0.3">
      <c r="B1389" s="53"/>
      <c r="C1389" s="57"/>
      <c r="D1389"/>
      <c r="E1389" s="53"/>
      <c r="F1389"/>
      <c r="G1389"/>
      <c r="H1389"/>
      <c r="I1389"/>
      <c r="J1389"/>
      <c r="K1389"/>
      <c r="L1389"/>
      <c r="M1389"/>
    </row>
    <row r="1390" spans="2:13" s="49" customFormat="1" ht="13.95" customHeight="1" x14ac:dyDescent="0.3">
      <c r="B1390" s="53"/>
      <c r="C1390" s="57"/>
      <c r="D1390"/>
      <c r="E1390" s="53"/>
      <c r="F1390"/>
      <c r="G1390"/>
      <c r="H1390"/>
      <c r="I1390"/>
      <c r="J1390"/>
      <c r="K1390"/>
      <c r="L1390"/>
      <c r="M1390"/>
    </row>
    <row r="1391" spans="2:13" s="49" customFormat="1" ht="13.95" customHeight="1" x14ac:dyDescent="0.3">
      <c r="B1391" s="53"/>
      <c r="C1391" s="57"/>
      <c r="D1391"/>
      <c r="E1391" s="53"/>
      <c r="F1391"/>
      <c r="G1391"/>
      <c r="H1391"/>
      <c r="I1391"/>
      <c r="J1391"/>
      <c r="K1391"/>
      <c r="L1391"/>
      <c r="M1391"/>
    </row>
    <row r="1392" spans="2:13" s="49" customFormat="1" ht="13.95" customHeight="1" x14ac:dyDescent="0.3">
      <c r="B1392" s="53"/>
      <c r="C1392" s="57"/>
      <c r="D1392"/>
      <c r="E1392" s="53"/>
      <c r="F1392"/>
      <c r="G1392"/>
      <c r="H1392"/>
      <c r="I1392"/>
      <c r="J1392"/>
      <c r="K1392"/>
      <c r="L1392"/>
      <c r="M1392"/>
    </row>
    <row r="1393" spans="2:13" s="49" customFormat="1" ht="13.95" customHeight="1" x14ac:dyDescent="0.3">
      <c r="B1393" s="53"/>
      <c r="C1393" s="57"/>
      <c r="D1393"/>
      <c r="E1393" s="53"/>
      <c r="F1393"/>
      <c r="G1393"/>
      <c r="H1393"/>
      <c r="I1393"/>
      <c r="J1393"/>
      <c r="K1393"/>
      <c r="L1393"/>
      <c r="M1393"/>
    </row>
    <row r="1394" spans="2:13" s="49" customFormat="1" ht="13.95" customHeight="1" x14ac:dyDescent="0.3">
      <c r="B1394" s="53"/>
      <c r="C1394" s="57"/>
      <c r="D1394"/>
      <c r="E1394" s="53"/>
      <c r="F1394"/>
      <c r="G1394"/>
      <c r="H1394"/>
      <c r="I1394"/>
      <c r="J1394"/>
      <c r="K1394"/>
      <c r="L1394"/>
      <c r="M1394"/>
    </row>
    <row r="1395" spans="2:13" s="49" customFormat="1" ht="13.95" customHeight="1" x14ac:dyDescent="0.3">
      <c r="B1395" s="53"/>
      <c r="C1395" s="57"/>
      <c r="D1395"/>
      <c r="E1395" s="53"/>
      <c r="F1395"/>
      <c r="G1395"/>
      <c r="H1395"/>
      <c r="I1395"/>
      <c r="J1395"/>
      <c r="K1395"/>
      <c r="L1395"/>
      <c r="M1395"/>
    </row>
    <row r="1396" spans="2:13" s="49" customFormat="1" ht="13.95" customHeight="1" x14ac:dyDescent="0.3">
      <c r="B1396" s="53"/>
      <c r="C1396" s="57"/>
      <c r="D1396"/>
      <c r="E1396" s="53"/>
      <c r="F1396"/>
      <c r="G1396"/>
      <c r="H1396"/>
      <c r="I1396"/>
      <c r="J1396"/>
      <c r="K1396"/>
      <c r="L1396"/>
      <c r="M1396"/>
    </row>
    <row r="1397" spans="2:13" s="49" customFormat="1" ht="13.95" customHeight="1" x14ac:dyDescent="0.3">
      <c r="B1397" s="53"/>
      <c r="C1397" s="57"/>
      <c r="D1397"/>
      <c r="E1397" s="53"/>
      <c r="F1397"/>
      <c r="G1397"/>
      <c r="H1397"/>
      <c r="I1397"/>
      <c r="J1397"/>
      <c r="K1397"/>
      <c r="L1397"/>
      <c r="M1397"/>
    </row>
    <row r="1398" spans="2:13" s="49" customFormat="1" ht="13.95" customHeight="1" x14ac:dyDescent="0.3">
      <c r="B1398" s="53"/>
      <c r="C1398" s="57"/>
      <c r="D1398"/>
      <c r="E1398" s="53"/>
      <c r="F1398"/>
      <c r="G1398"/>
      <c r="H1398"/>
      <c r="I1398"/>
      <c r="J1398"/>
      <c r="K1398"/>
      <c r="L1398"/>
      <c r="M1398"/>
    </row>
    <row r="1399" spans="2:13" s="49" customFormat="1" ht="13.95" customHeight="1" x14ac:dyDescent="0.3">
      <c r="B1399" s="53"/>
      <c r="C1399" s="57"/>
      <c r="D1399"/>
      <c r="E1399" s="53"/>
      <c r="F1399"/>
      <c r="G1399"/>
      <c r="H1399"/>
      <c r="I1399"/>
      <c r="J1399"/>
      <c r="K1399"/>
      <c r="L1399"/>
      <c r="M1399"/>
    </row>
    <row r="1400" spans="2:13" s="49" customFormat="1" ht="13.95" customHeight="1" x14ac:dyDescent="0.3">
      <c r="B1400" s="53"/>
      <c r="C1400" s="57"/>
      <c r="D1400"/>
      <c r="E1400" s="53"/>
      <c r="F1400"/>
      <c r="G1400"/>
      <c r="H1400"/>
      <c r="I1400"/>
      <c r="J1400"/>
      <c r="K1400"/>
      <c r="L1400"/>
      <c r="M1400"/>
    </row>
    <row r="1401" spans="2:13" s="49" customFormat="1" ht="13.95" customHeight="1" x14ac:dyDescent="0.3">
      <c r="B1401" s="53"/>
      <c r="C1401" s="57"/>
      <c r="D1401"/>
      <c r="E1401" s="53"/>
      <c r="F1401"/>
      <c r="G1401"/>
      <c r="H1401"/>
      <c r="I1401"/>
      <c r="J1401"/>
      <c r="K1401"/>
      <c r="L1401"/>
      <c r="M1401"/>
    </row>
    <row r="1402" spans="2:13" s="49" customFormat="1" ht="13.95" customHeight="1" x14ac:dyDescent="0.3">
      <c r="B1402" s="53"/>
      <c r="C1402" s="57"/>
      <c r="D1402"/>
      <c r="E1402" s="53"/>
      <c r="F1402"/>
      <c r="G1402"/>
      <c r="H1402"/>
      <c r="I1402"/>
      <c r="J1402"/>
      <c r="K1402"/>
      <c r="L1402"/>
      <c r="M1402"/>
    </row>
    <row r="1403" spans="2:13" s="49" customFormat="1" ht="13.95" customHeight="1" x14ac:dyDescent="0.3">
      <c r="B1403" s="53"/>
      <c r="C1403" s="57"/>
      <c r="D1403"/>
      <c r="E1403" s="53"/>
      <c r="F1403"/>
      <c r="G1403"/>
      <c r="H1403"/>
      <c r="I1403"/>
      <c r="J1403"/>
      <c r="K1403"/>
      <c r="L1403"/>
      <c r="M1403"/>
    </row>
    <row r="1404" spans="2:13" s="49" customFormat="1" ht="13.95" customHeight="1" x14ac:dyDescent="0.3">
      <c r="B1404" s="53"/>
      <c r="C1404" s="57"/>
      <c r="D1404"/>
      <c r="E1404" s="53"/>
      <c r="F1404"/>
      <c r="G1404"/>
      <c r="H1404"/>
      <c r="I1404"/>
      <c r="J1404"/>
      <c r="K1404"/>
      <c r="L1404"/>
      <c r="M1404"/>
    </row>
    <row r="1405" spans="2:13" s="49" customFormat="1" ht="13.95" customHeight="1" x14ac:dyDescent="0.3">
      <c r="B1405" s="53"/>
      <c r="C1405" s="57"/>
      <c r="D1405"/>
      <c r="E1405" s="53"/>
      <c r="F1405"/>
      <c r="G1405"/>
      <c r="H1405"/>
      <c r="I1405"/>
      <c r="J1405"/>
      <c r="K1405"/>
      <c r="L1405"/>
      <c r="M1405"/>
    </row>
    <row r="1406" spans="2:13" s="49" customFormat="1" ht="13.95" customHeight="1" x14ac:dyDescent="0.3">
      <c r="B1406" s="53"/>
      <c r="C1406" s="57"/>
      <c r="D1406"/>
      <c r="E1406" s="53"/>
      <c r="F1406"/>
      <c r="G1406"/>
      <c r="H1406"/>
      <c r="I1406"/>
      <c r="J1406"/>
      <c r="K1406"/>
      <c r="L1406"/>
      <c r="M1406"/>
    </row>
    <row r="1407" spans="2:13" s="49" customFormat="1" ht="13.95" customHeight="1" x14ac:dyDescent="0.3">
      <c r="B1407" s="53"/>
      <c r="C1407" s="57"/>
      <c r="D1407"/>
      <c r="E1407" s="53"/>
      <c r="F1407"/>
      <c r="G1407"/>
      <c r="H1407"/>
      <c r="I1407"/>
      <c r="J1407"/>
      <c r="K1407"/>
      <c r="L1407"/>
      <c r="M1407"/>
    </row>
    <row r="1408" spans="2:13" s="49" customFormat="1" ht="13.95" customHeight="1" x14ac:dyDescent="0.3">
      <c r="B1408" s="53"/>
      <c r="C1408" s="57"/>
      <c r="D1408"/>
      <c r="E1408" s="53"/>
      <c r="F1408"/>
      <c r="G1408"/>
      <c r="H1408"/>
      <c r="I1408"/>
      <c r="J1408"/>
      <c r="K1408"/>
      <c r="L1408"/>
      <c r="M1408"/>
    </row>
    <row r="1409" spans="2:13" s="49" customFormat="1" ht="13.95" customHeight="1" x14ac:dyDescent="0.3">
      <c r="B1409" s="53"/>
      <c r="C1409" s="57"/>
      <c r="D1409"/>
      <c r="E1409" s="53"/>
      <c r="F1409"/>
      <c r="G1409"/>
      <c r="H1409"/>
      <c r="I1409"/>
      <c r="J1409"/>
      <c r="K1409"/>
      <c r="L1409"/>
      <c r="M1409"/>
    </row>
    <row r="1410" spans="2:13" s="49" customFormat="1" ht="13.95" customHeight="1" x14ac:dyDescent="0.3">
      <c r="B1410" s="53"/>
      <c r="C1410" s="57"/>
      <c r="D1410"/>
      <c r="E1410" s="53"/>
      <c r="F1410"/>
      <c r="G1410"/>
      <c r="H1410"/>
      <c r="I1410"/>
      <c r="J1410"/>
      <c r="K1410"/>
      <c r="L1410"/>
      <c r="M1410"/>
    </row>
    <row r="1411" spans="2:13" s="49" customFormat="1" ht="13.95" customHeight="1" x14ac:dyDescent="0.3">
      <c r="B1411" s="53"/>
      <c r="C1411" s="57"/>
      <c r="D1411"/>
      <c r="E1411" s="53"/>
      <c r="F1411"/>
      <c r="G1411"/>
      <c r="H1411"/>
      <c r="I1411"/>
      <c r="J1411"/>
      <c r="K1411"/>
      <c r="L1411"/>
      <c r="M1411"/>
    </row>
    <row r="1412" spans="2:13" s="49" customFormat="1" ht="13.95" customHeight="1" x14ac:dyDescent="0.3">
      <c r="B1412" s="53"/>
      <c r="C1412" s="57"/>
      <c r="D1412"/>
      <c r="E1412" s="53"/>
      <c r="F1412"/>
      <c r="G1412"/>
      <c r="H1412"/>
      <c r="I1412"/>
      <c r="J1412"/>
      <c r="K1412"/>
      <c r="L1412"/>
      <c r="M1412"/>
    </row>
    <row r="1413" spans="2:13" s="49" customFormat="1" ht="13.95" customHeight="1" x14ac:dyDescent="0.3">
      <c r="B1413" s="53"/>
      <c r="C1413" s="57"/>
      <c r="D1413"/>
      <c r="E1413" s="53"/>
      <c r="F1413"/>
      <c r="G1413"/>
      <c r="H1413"/>
      <c r="I1413"/>
      <c r="J1413"/>
      <c r="K1413"/>
      <c r="L1413"/>
      <c r="M1413"/>
    </row>
    <row r="1414" spans="2:13" s="49" customFormat="1" ht="13.95" customHeight="1" x14ac:dyDescent="0.3">
      <c r="B1414" s="53"/>
      <c r="C1414" s="57"/>
      <c r="D1414"/>
      <c r="E1414" s="53"/>
      <c r="F1414"/>
      <c r="G1414"/>
      <c r="H1414"/>
      <c r="I1414"/>
      <c r="J1414"/>
      <c r="K1414"/>
      <c r="L1414"/>
      <c r="M1414"/>
    </row>
    <row r="1415" spans="2:13" s="49" customFormat="1" ht="13.95" customHeight="1" x14ac:dyDescent="0.3">
      <c r="B1415" s="53"/>
      <c r="C1415" s="57"/>
      <c r="D1415"/>
      <c r="E1415" s="53"/>
      <c r="F1415"/>
      <c r="G1415"/>
      <c r="H1415"/>
      <c r="I1415"/>
      <c r="J1415"/>
      <c r="K1415"/>
      <c r="L1415"/>
      <c r="M1415"/>
    </row>
    <row r="1416" spans="2:13" s="49" customFormat="1" ht="13.95" customHeight="1" x14ac:dyDescent="0.3">
      <c r="B1416" s="53"/>
      <c r="C1416" s="57"/>
      <c r="D1416"/>
      <c r="E1416" s="53"/>
      <c r="F1416"/>
      <c r="G1416"/>
      <c r="H1416"/>
      <c r="I1416"/>
      <c r="J1416"/>
      <c r="K1416"/>
      <c r="L1416"/>
      <c r="M1416"/>
    </row>
    <row r="1417" spans="2:13" s="49" customFormat="1" ht="13.95" customHeight="1" x14ac:dyDescent="0.3">
      <c r="B1417" s="53"/>
      <c r="C1417" s="57"/>
      <c r="D1417"/>
      <c r="E1417" s="53"/>
      <c r="F1417"/>
      <c r="G1417"/>
      <c r="H1417"/>
      <c r="I1417"/>
      <c r="J1417"/>
      <c r="K1417"/>
      <c r="L1417"/>
      <c r="M1417"/>
    </row>
    <row r="1418" spans="2:13" s="49" customFormat="1" ht="13.95" customHeight="1" x14ac:dyDescent="0.3">
      <c r="B1418" s="53"/>
      <c r="C1418" s="57"/>
      <c r="D1418"/>
      <c r="E1418" s="53"/>
      <c r="F1418"/>
      <c r="G1418"/>
      <c r="H1418"/>
      <c r="I1418"/>
      <c r="J1418"/>
      <c r="K1418"/>
      <c r="L1418"/>
      <c r="M1418"/>
    </row>
    <row r="1419" spans="2:13" s="49" customFormat="1" ht="13.95" customHeight="1" x14ac:dyDescent="0.3">
      <c r="B1419" s="53"/>
      <c r="C1419" s="57"/>
      <c r="D1419"/>
      <c r="E1419" s="53"/>
      <c r="F1419"/>
      <c r="G1419"/>
      <c r="H1419"/>
      <c r="I1419"/>
      <c r="J1419"/>
      <c r="K1419"/>
      <c r="L1419"/>
      <c r="M1419"/>
    </row>
    <row r="1420" spans="2:13" s="49" customFormat="1" ht="13.95" customHeight="1" x14ac:dyDescent="0.3">
      <c r="B1420" s="53"/>
      <c r="C1420" s="57"/>
      <c r="D1420"/>
      <c r="E1420" s="53"/>
      <c r="F1420"/>
      <c r="G1420"/>
      <c r="H1420"/>
      <c r="I1420"/>
      <c r="J1420"/>
      <c r="K1420"/>
      <c r="L1420"/>
      <c r="M1420"/>
    </row>
    <row r="1421" spans="2:13" s="49" customFormat="1" ht="13.95" customHeight="1" x14ac:dyDescent="0.3">
      <c r="B1421" s="53"/>
      <c r="C1421" s="57"/>
      <c r="D1421"/>
      <c r="E1421" s="53"/>
      <c r="F1421"/>
      <c r="G1421"/>
      <c r="H1421"/>
      <c r="I1421"/>
      <c r="J1421"/>
      <c r="K1421"/>
      <c r="L1421"/>
      <c r="M1421"/>
    </row>
    <row r="1422" spans="2:13" s="49" customFormat="1" ht="13.95" customHeight="1" x14ac:dyDescent="0.3">
      <c r="B1422" s="53"/>
      <c r="C1422" s="57"/>
      <c r="D1422"/>
      <c r="E1422" s="53"/>
      <c r="F1422"/>
      <c r="G1422"/>
      <c r="H1422"/>
      <c r="I1422"/>
      <c r="J1422"/>
      <c r="K1422"/>
      <c r="L1422"/>
      <c r="M1422"/>
    </row>
    <row r="1423" spans="2:13" s="49" customFormat="1" ht="13.95" customHeight="1" x14ac:dyDescent="0.3">
      <c r="B1423" s="53"/>
      <c r="C1423" s="57"/>
      <c r="D1423"/>
      <c r="E1423" s="53"/>
      <c r="F1423"/>
      <c r="G1423"/>
      <c r="H1423"/>
      <c r="I1423"/>
      <c r="J1423"/>
      <c r="K1423"/>
      <c r="L1423"/>
      <c r="M1423"/>
    </row>
    <row r="1424" spans="2:13" s="49" customFormat="1" ht="13.95" customHeight="1" x14ac:dyDescent="0.3">
      <c r="B1424" s="53"/>
      <c r="C1424" s="57"/>
      <c r="D1424"/>
      <c r="E1424" s="53"/>
      <c r="F1424"/>
      <c r="G1424"/>
      <c r="H1424"/>
      <c r="I1424"/>
      <c r="J1424"/>
      <c r="K1424"/>
      <c r="L1424"/>
      <c r="M1424"/>
    </row>
    <row r="1425" spans="2:13" s="49" customFormat="1" ht="13.95" customHeight="1" x14ac:dyDescent="0.3">
      <c r="B1425" s="53"/>
      <c r="C1425" s="57"/>
      <c r="D1425"/>
      <c r="E1425" s="53"/>
      <c r="F1425"/>
      <c r="G1425"/>
      <c r="H1425"/>
      <c r="I1425"/>
      <c r="J1425"/>
      <c r="K1425"/>
      <c r="L1425"/>
      <c r="M1425"/>
    </row>
    <row r="1426" spans="2:13" s="49" customFormat="1" ht="13.95" customHeight="1" x14ac:dyDescent="0.3">
      <c r="B1426" s="53"/>
      <c r="C1426" s="57"/>
      <c r="D1426"/>
      <c r="E1426" s="53"/>
      <c r="F1426"/>
      <c r="G1426"/>
      <c r="H1426"/>
      <c r="I1426"/>
      <c r="J1426"/>
      <c r="K1426"/>
      <c r="L1426"/>
      <c r="M1426"/>
    </row>
    <row r="1427" spans="2:13" s="49" customFormat="1" ht="13.95" customHeight="1" x14ac:dyDescent="0.3">
      <c r="B1427" s="53"/>
      <c r="C1427" s="57"/>
      <c r="D1427"/>
      <c r="E1427" s="53"/>
      <c r="F1427"/>
      <c r="G1427"/>
      <c r="H1427"/>
      <c r="I1427"/>
      <c r="J1427"/>
      <c r="K1427"/>
      <c r="L1427"/>
      <c r="M1427"/>
    </row>
    <row r="1428" spans="2:13" s="49" customFormat="1" ht="13.95" customHeight="1" x14ac:dyDescent="0.3">
      <c r="B1428" s="53"/>
      <c r="C1428" s="57"/>
      <c r="D1428"/>
      <c r="E1428" s="53"/>
      <c r="F1428"/>
      <c r="G1428"/>
      <c r="H1428"/>
      <c r="I1428"/>
      <c r="J1428"/>
      <c r="K1428"/>
      <c r="L1428"/>
      <c r="M1428"/>
    </row>
    <row r="1429" spans="2:13" s="49" customFormat="1" ht="13.95" customHeight="1" x14ac:dyDescent="0.3">
      <c r="B1429" s="53"/>
      <c r="C1429" s="57"/>
      <c r="D1429"/>
      <c r="E1429" s="53"/>
      <c r="F1429"/>
      <c r="G1429"/>
      <c r="H1429"/>
      <c r="I1429"/>
      <c r="J1429"/>
      <c r="K1429"/>
      <c r="L1429"/>
      <c r="M1429"/>
    </row>
    <row r="1430" spans="2:13" s="49" customFormat="1" ht="13.95" customHeight="1" x14ac:dyDescent="0.3">
      <c r="B1430" s="53"/>
      <c r="C1430" s="57"/>
      <c r="D1430"/>
      <c r="E1430" s="53"/>
      <c r="F1430"/>
      <c r="G1430"/>
      <c r="H1430"/>
      <c r="I1430"/>
      <c r="J1430"/>
      <c r="K1430"/>
      <c r="L1430"/>
      <c r="M1430"/>
    </row>
    <row r="1431" spans="2:13" s="49" customFormat="1" ht="13.95" customHeight="1" x14ac:dyDescent="0.3">
      <c r="B1431" s="53"/>
      <c r="C1431" s="57"/>
      <c r="D1431"/>
      <c r="E1431" s="53"/>
      <c r="F1431"/>
      <c r="G1431"/>
      <c r="H1431"/>
      <c r="I1431"/>
      <c r="J1431"/>
      <c r="K1431"/>
      <c r="L1431"/>
      <c r="M1431"/>
    </row>
    <row r="1432" spans="2:13" s="49" customFormat="1" ht="13.95" customHeight="1" x14ac:dyDescent="0.3">
      <c r="B1432" s="53"/>
      <c r="C1432" s="57"/>
      <c r="D1432"/>
      <c r="E1432" s="53"/>
      <c r="F1432"/>
      <c r="G1432"/>
      <c r="H1432"/>
      <c r="I1432"/>
      <c r="J1432"/>
      <c r="K1432"/>
      <c r="L1432"/>
      <c r="M1432"/>
    </row>
    <row r="1433" spans="2:13" s="49" customFormat="1" ht="13.95" customHeight="1" x14ac:dyDescent="0.3">
      <c r="B1433" s="53"/>
      <c r="C1433" s="57"/>
      <c r="D1433"/>
      <c r="E1433" s="53"/>
      <c r="F1433"/>
      <c r="G1433"/>
      <c r="H1433"/>
      <c r="I1433"/>
      <c r="J1433"/>
      <c r="K1433"/>
      <c r="L1433"/>
      <c r="M1433"/>
    </row>
    <row r="1434" spans="2:13" s="49" customFormat="1" ht="13.95" customHeight="1" x14ac:dyDescent="0.3">
      <c r="B1434" s="53"/>
      <c r="C1434" s="57"/>
      <c r="D1434"/>
      <c r="E1434" s="53"/>
      <c r="F1434"/>
      <c r="G1434"/>
      <c r="H1434"/>
      <c r="I1434"/>
      <c r="J1434"/>
      <c r="K1434"/>
      <c r="L1434"/>
      <c r="M1434"/>
    </row>
    <row r="1435" spans="2:13" s="49" customFormat="1" ht="13.95" customHeight="1" x14ac:dyDescent="0.3">
      <c r="B1435" s="53"/>
      <c r="C1435" s="57"/>
      <c r="D1435"/>
      <c r="E1435" s="53"/>
      <c r="F1435"/>
      <c r="G1435"/>
      <c r="H1435"/>
      <c r="I1435"/>
      <c r="J1435"/>
      <c r="K1435"/>
      <c r="L1435"/>
      <c r="M1435"/>
    </row>
    <row r="1436" spans="2:13" s="49" customFormat="1" ht="13.95" customHeight="1" x14ac:dyDescent="0.3">
      <c r="B1436" s="53"/>
      <c r="C1436" s="57"/>
      <c r="D1436"/>
      <c r="E1436" s="53"/>
      <c r="F1436"/>
      <c r="G1436"/>
      <c r="H1436"/>
      <c r="I1436"/>
      <c r="J1436"/>
      <c r="K1436"/>
      <c r="L1436"/>
      <c r="M1436"/>
    </row>
    <row r="1437" spans="2:13" s="49" customFormat="1" ht="13.95" customHeight="1" x14ac:dyDescent="0.3">
      <c r="B1437" s="53"/>
      <c r="C1437" s="57"/>
      <c r="D1437"/>
      <c r="E1437" s="53"/>
      <c r="F1437"/>
      <c r="G1437"/>
      <c r="H1437"/>
      <c r="I1437"/>
      <c r="J1437"/>
      <c r="K1437"/>
      <c r="L1437"/>
      <c r="M1437"/>
    </row>
    <row r="1438" spans="2:13" s="49" customFormat="1" ht="13.95" customHeight="1" x14ac:dyDescent="0.3">
      <c r="B1438" s="53"/>
      <c r="C1438" s="57"/>
      <c r="D1438"/>
      <c r="E1438" s="53"/>
      <c r="F1438"/>
      <c r="G1438"/>
      <c r="H1438"/>
      <c r="I1438"/>
      <c r="J1438"/>
      <c r="K1438"/>
      <c r="L1438"/>
      <c r="M1438"/>
    </row>
    <row r="1439" spans="2:13" s="49" customFormat="1" ht="13.95" customHeight="1" x14ac:dyDescent="0.3">
      <c r="B1439" s="53"/>
      <c r="C1439" s="57"/>
      <c r="D1439"/>
      <c r="E1439" s="53"/>
      <c r="F1439"/>
      <c r="G1439"/>
      <c r="H1439"/>
      <c r="I1439"/>
      <c r="J1439"/>
      <c r="K1439"/>
      <c r="L1439"/>
      <c r="M1439"/>
    </row>
    <row r="1440" spans="2:13" s="49" customFormat="1" ht="13.95" customHeight="1" x14ac:dyDescent="0.3">
      <c r="B1440" s="53"/>
      <c r="C1440" s="57"/>
      <c r="D1440"/>
      <c r="E1440" s="53"/>
      <c r="F1440"/>
      <c r="G1440"/>
      <c r="H1440"/>
      <c r="I1440"/>
      <c r="J1440"/>
      <c r="K1440"/>
      <c r="L1440"/>
      <c r="M1440"/>
    </row>
    <row r="1441" spans="2:13" s="49" customFormat="1" ht="13.95" customHeight="1" x14ac:dyDescent="0.3">
      <c r="B1441" s="53"/>
      <c r="C1441" s="57"/>
      <c r="D1441"/>
      <c r="E1441" s="53"/>
      <c r="F1441"/>
      <c r="G1441"/>
      <c r="H1441"/>
      <c r="I1441"/>
      <c r="J1441"/>
      <c r="K1441"/>
      <c r="L1441"/>
      <c r="M1441"/>
    </row>
    <row r="1442" spans="2:13" s="49" customFormat="1" ht="13.95" customHeight="1" x14ac:dyDescent="0.3">
      <c r="B1442" s="53"/>
      <c r="C1442" s="57"/>
      <c r="D1442"/>
      <c r="E1442" s="53"/>
      <c r="F1442"/>
      <c r="G1442"/>
      <c r="H1442"/>
      <c r="I1442"/>
      <c r="J1442"/>
      <c r="K1442"/>
      <c r="L1442"/>
      <c r="M1442"/>
    </row>
    <row r="1443" spans="2:13" s="49" customFormat="1" ht="13.95" customHeight="1" x14ac:dyDescent="0.3">
      <c r="B1443" s="53"/>
      <c r="C1443" s="57"/>
      <c r="D1443"/>
      <c r="E1443" s="53"/>
      <c r="F1443"/>
      <c r="G1443"/>
      <c r="H1443"/>
      <c r="I1443"/>
      <c r="J1443"/>
      <c r="K1443"/>
      <c r="L1443"/>
      <c r="M1443"/>
    </row>
    <row r="1444" spans="2:13" s="49" customFormat="1" ht="13.95" customHeight="1" x14ac:dyDescent="0.3">
      <c r="B1444" s="53"/>
      <c r="C1444" s="57"/>
      <c r="D1444"/>
      <c r="E1444" s="53"/>
      <c r="F1444"/>
      <c r="G1444"/>
      <c r="H1444"/>
      <c r="I1444"/>
      <c r="J1444"/>
      <c r="K1444"/>
      <c r="L1444"/>
      <c r="M1444"/>
    </row>
    <row r="1445" spans="2:13" s="49" customFormat="1" ht="13.95" customHeight="1" x14ac:dyDescent="0.3">
      <c r="B1445" s="53"/>
      <c r="C1445" s="57"/>
      <c r="D1445"/>
      <c r="E1445" s="53"/>
      <c r="F1445"/>
      <c r="G1445"/>
      <c r="H1445"/>
      <c r="I1445"/>
      <c r="J1445"/>
      <c r="K1445"/>
      <c r="L1445"/>
      <c r="M1445"/>
    </row>
    <row r="1446" spans="2:13" s="49" customFormat="1" ht="13.95" customHeight="1" x14ac:dyDescent="0.3">
      <c r="B1446" s="53"/>
      <c r="C1446" s="57"/>
      <c r="D1446"/>
      <c r="E1446" s="53"/>
      <c r="F1446"/>
      <c r="G1446"/>
      <c r="H1446"/>
      <c r="I1446"/>
      <c r="J1446"/>
      <c r="K1446"/>
      <c r="L1446"/>
      <c r="M1446"/>
    </row>
    <row r="1447" spans="2:13" s="49" customFormat="1" ht="13.95" customHeight="1" x14ac:dyDescent="0.3">
      <c r="B1447" s="53"/>
      <c r="C1447" s="57"/>
      <c r="D1447"/>
      <c r="E1447" s="53"/>
      <c r="F1447"/>
      <c r="G1447"/>
      <c r="H1447"/>
      <c r="I1447"/>
      <c r="J1447"/>
      <c r="K1447"/>
      <c r="L1447"/>
      <c r="M1447"/>
    </row>
    <row r="1448" spans="2:13" s="49" customFormat="1" ht="13.95" customHeight="1" x14ac:dyDescent="0.3">
      <c r="B1448" s="53"/>
      <c r="C1448" s="57"/>
      <c r="D1448"/>
      <c r="E1448" s="53"/>
      <c r="F1448"/>
      <c r="G1448"/>
      <c r="H1448"/>
      <c r="I1448"/>
      <c r="J1448"/>
      <c r="K1448"/>
      <c r="L1448"/>
      <c r="M1448"/>
    </row>
    <row r="1449" spans="2:13" s="49" customFormat="1" ht="13.95" customHeight="1" x14ac:dyDescent="0.3">
      <c r="B1449" s="53"/>
      <c r="C1449" s="57"/>
      <c r="D1449"/>
      <c r="E1449" s="53"/>
      <c r="F1449"/>
      <c r="G1449"/>
      <c r="H1449"/>
      <c r="I1449"/>
      <c r="J1449"/>
      <c r="K1449"/>
      <c r="L1449"/>
      <c r="M1449"/>
    </row>
    <row r="1450" spans="2:13" s="49" customFormat="1" ht="13.95" customHeight="1" x14ac:dyDescent="0.3">
      <c r="B1450" s="53"/>
      <c r="C1450" s="57"/>
      <c r="D1450"/>
      <c r="E1450" s="53"/>
      <c r="F1450"/>
      <c r="G1450"/>
      <c r="H1450"/>
      <c r="I1450"/>
      <c r="J1450"/>
      <c r="K1450"/>
      <c r="L1450"/>
      <c r="M1450"/>
    </row>
    <row r="1451" spans="2:13" s="49" customFormat="1" ht="13.95" customHeight="1" x14ac:dyDescent="0.3">
      <c r="B1451" s="53"/>
      <c r="C1451" s="57"/>
      <c r="D1451"/>
      <c r="E1451" s="53"/>
      <c r="F1451"/>
      <c r="G1451"/>
      <c r="H1451"/>
      <c r="I1451"/>
      <c r="J1451"/>
      <c r="K1451"/>
      <c r="L1451"/>
      <c r="M1451"/>
    </row>
    <row r="1452" spans="2:13" s="49" customFormat="1" ht="13.95" customHeight="1" x14ac:dyDescent="0.3">
      <c r="B1452" s="53"/>
      <c r="C1452" s="57"/>
      <c r="D1452"/>
      <c r="E1452" s="53"/>
      <c r="F1452"/>
      <c r="G1452"/>
      <c r="H1452"/>
      <c r="I1452"/>
      <c r="J1452"/>
      <c r="K1452"/>
      <c r="L1452"/>
      <c r="M1452"/>
    </row>
    <row r="1453" spans="2:13" s="49" customFormat="1" ht="13.95" customHeight="1" x14ac:dyDescent="0.3">
      <c r="B1453" s="53"/>
      <c r="C1453" s="57"/>
      <c r="D1453"/>
      <c r="E1453" s="53"/>
      <c r="F1453"/>
      <c r="G1453"/>
      <c r="H1453"/>
      <c r="I1453"/>
      <c r="J1453"/>
      <c r="K1453"/>
      <c r="L1453"/>
      <c r="M1453"/>
    </row>
    <row r="1454" spans="2:13" s="49" customFormat="1" ht="13.95" customHeight="1" x14ac:dyDescent="0.3">
      <c r="B1454" s="53"/>
      <c r="C1454" s="57"/>
      <c r="D1454"/>
      <c r="E1454" s="53"/>
      <c r="F1454"/>
      <c r="G1454"/>
      <c r="H1454"/>
      <c r="I1454"/>
      <c r="J1454"/>
      <c r="K1454"/>
      <c r="L1454"/>
      <c r="M1454"/>
    </row>
    <row r="1455" spans="2:13" s="49" customFormat="1" ht="13.95" customHeight="1" x14ac:dyDescent="0.3">
      <c r="B1455" s="53"/>
      <c r="C1455" s="57"/>
      <c r="D1455"/>
      <c r="E1455" s="53"/>
      <c r="F1455"/>
      <c r="G1455"/>
      <c r="H1455"/>
      <c r="I1455"/>
      <c r="J1455"/>
      <c r="K1455"/>
      <c r="L1455"/>
      <c r="M1455"/>
    </row>
    <row r="1456" spans="2:13" s="49" customFormat="1" ht="13.95" customHeight="1" x14ac:dyDescent="0.3">
      <c r="B1456" s="53"/>
      <c r="C1456" s="57"/>
      <c r="D1456"/>
      <c r="E1456" s="53"/>
      <c r="F1456"/>
      <c r="G1456"/>
      <c r="H1456"/>
      <c r="I1456"/>
      <c r="J1456"/>
      <c r="K1456"/>
      <c r="L1456"/>
      <c r="M1456"/>
    </row>
    <row r="1457" spans="2:13" s="49" customFormat="1" ht="13.95" customHeight="1" x14ac:dyDescent="0.3">
      <c r="B1457" s="53"/>
      <c r="C1457" s="57"/>
      <c r="D1457"/>
      <c r="E1457" s="53"/>
      <c r="F1457"/>
      <c r="G1457"/>
      <c r="H1457"/>
      <c r="I1457"/>
      <c r="J1457"/>
      <c r="K1457"/>
      <c r="L1457"/>
      <c r="M1457"/>
    </row>
    <row r="1458" spans="2:13" s="49" customFormat="1" ht="13.95" customHeight="1" x14ac:dyDescent="0.3">
      <c r="B1458" s="53"/>
      <c r="C1458" s="57"/>
      <c r="D1458"/>
      <c r="E1458" s="53"/>
      <c r="F1458"/>
      <c r="G1458"/>
      <c r="H1458"/>
      <c r="I1458"/>
      <c r="J1458"/>
      <c r="K1458"/>
      <c r="L1458"/>
      <c r="M1458"/>
    </row>
    <row r="1459" spans="2:13" s="49" customFormat="1" ht="13.95" customHeight="1" x14ac:dyDescent="0.3">
      <c r="B1459" s="53"/>
      <c r="C1459" s="57"/>
      <c r="D1459"/>
      <c r="E1459" s="53"/>
      <c r="F1459"/>
      <c r="G1459"/>
      <c r="H1459"/>
      <c r="I1459"/>
      <c r="J1459"/>
      <c r="K1459"/>
      <c r="L1459"/>
      <c r="M1459"/>
    </row>
    <row r="1460" spans="2:13" s="49" customFormat="1" ht="13.95" customHeight="1" x14ac:dyDescent="0.3">
      <c r="B1460" s="53"/>
      <c r="C1460" s="57"/>
      <c r="D1460"/>
      <c r="E1460" s="53"/>
      <c r="F1460"/>
      <c r="G1460"/>
      <c r="H1460"/>
      <c r="I1460"/>
      <c r="J1460"/>
      <c r="K1460"/>
      <c r="L1460"/>
      <c r="M1460"/>
    </row>
    <row r="1461" spans="2:13" s="49" customFormat="1" ht="13.95" customHeight="1" x14ac:dyDescent="0.3">
      <c r="B1461" s="53"/>
      <c r="C1461" s="57"/>
      <c r="D1461"/>
      <c r="E1461" s="53"/>
      <c r="F1461"/>
      <c r="G1461"/>
      <c r="H1461"/>
      <c r="I1461"/>
      <c r="J1461"/>
      <c r="K1461"/>
      <c r="L1461"/>
      <c r="M1461"/>
    </row>
    <row r="1462" spans="2:13" s="49" customFormat="1" ht="13.95" customHeight="1" x14ac:dyDescent="0.3">
      <c r="B1462" s="53"/>
      <c r="C1462" s="57"/>
      <c r="D1462"/>
      <c r="E1462" s="53"/>
      <c r="F1462"/>
      <c r="G1462"/>
      <c r="H1462"/>
      <c r="I1462"/>
      <c r="J1462"/>
      <c r="K1462"/>
      <c r="L1462"/>
      <c r="M1462"/>
    </row>
    <row r="1463" spans="2:13" s="49" customFormat="1" ht="13.95" customHeight="1" x14ac:dyDescent="0.3">
      <c r="B1463" s="53"/>
      <c r="C1463" s="57"/>
      <c r="D1463"/>
      <c r="E1463" s="53"/>
      <c r="F1463"/>
      <c r="G1463"/>
      <c r="H1463"/>
      <c r="I1463"/>
      <c r="J1463"/>
      <c r="K1463"/>
      <c r="L1463"/>
      <c r="M1463"/>
    </row>
    <row r="1464" spans="2:13" s="49" customFormat="1" ht="13.95" customHeight="1" x14ac:dyDescent="0.3">
      <c r="B1464" s="53"/>
      <c r="C1464" s="57"/>
      <c r="D1464"/>
      <c r="E1464" s="53"/>
      <c r="F1464"/>
      <c r="G1464"/>
      <c r="H1464"/>
      <c r="I1464"/>
      <c r="J1464"/>
      <c r="K1464"/>
      <c r="L1464"/>
      <c r="M1464"/>
    </row>
    <row r="1465" spans="2:13" s="49" customFormat="1" ht="13.95" customHeight="1" x14ac:dyDescent="0.3">
      <c r="B1465" s="53"/>
      <c r="C1465" s="57"/>
      <c r="D1465"/>
      <c r="E1465" s="53"/>
      <c r="F1465"/>
      <c r="G1465"/>
      <c r="H1465"/>
      <c r="I1465"/>
      <c r="J1465"/>
      <c r="K1465"/>
      <c r="L1465"/>
      <c r="M1465"/>
    </row>
    <row r="1466" spans="2:13" s="49" customFormat="1" ht="13.95" customHeight="1" x14ac:dyDescent="0.3">
      <c r="B1466" s="53"/>
      <c r="C1466" s="57"/>
      <c r="D1466"/>
      <c r="E1466" s="53"/>
      <c r="F1466"/>
      <c r="G1466"/>
      <c r="H1466"/>
      <c r="I1466"/>
      <c r="J1466"/>
      <c r="K1466"/>
      <c r="L1466"/>
      <c r="M1466"/>
    </row>
    <row r="1467" spans="2:13" s="49" customFormat="1" ht="13.95" customHeight="1" x14ac:dyDescent="0.3">
      <c r="B1467" s="53"/>
      <c r="C1467" s="57"/>
      <c r="D1467"/>
      <c r="E1467" s="53"/>
      <c r="F1467"/>
      <c r="G1467"/>
      <c r="H1467"/>
      <c r="I1467"/>
      <c r="J1467"/>
      <c r="K1467"/>
      <c r="L1467"/>
      <c r="M1467"/>
    </row>
    <row r="1468" spans="2:13" s="49" customFormat="1" ht="13.95" customHeight="1" x14ac:dyDescent="0.3">
      <c r="B1468" s="53"/>
      <c r="C1468" s="57"/>
      <c r="D1468"/>
      <c r="E1468" s="53"/>
      <c r="F1468"/>
      <c r="G1468"/>
      <c r="H1468"/>
      <c r="I1468"/>
      <c r="J1468"/>
      <c r="K1468"/>
      <c r="L1468"/>
      <c r="M1468"/>
    </row>
    <row r="1469" spans="2:13" s="49" customFormat="1" ht="13.95" customHeight="1" x14ac:dyDescent="0.3">
      <c r="B1469" s="53"/>
      <c r="C1469" s="57"/>
      <c r="D1469"/>
      <c r="E1469" s="53"/>
      <c r="F1469"/>
      <c r="G1469"/>
      <c r="H1469"/>
      <c r="I1469"/>
      <c r="J1469"/>
      <c r="K1469"/>
      <c r="L1469"/>
      <c r="M1469"/>
    </row>
    <row r="1470" spans="2:13" s="49" customFormat="1" ht="13.95" customHeight="1" x14ac:dyDescent="0.3">
      <c r="B1470" s="53"/>
      <c r="C1470" s="57"/>
      <c r="D1470"/>
      <c r="E1470" s="53"/>
      <c r="F1470"/>
      <c r="G1470"/>
      <c r="H1470"/>
      <c r="I1470"/>
      <c r="J1470"/>
      <c r="K1470"/>
      <c r="L1470"/>
      <c r="M1470"/>
    </row>
    <row r="1471" spans="2:13" s="49" customFormat="1" ht="13.95" customHeight="1" x14ac:dyDescent="0.3">
      <c r="B1471" s="53"/>
      <c r="C1471" s="57"/>
      <c r="D1471"/>
      <c r="E1471" s="53"/>
      <c r="F1471"/>
      <c r="G1471"/>
      <c r="H1471"/>
      <c r="I1471"/>
      <c r="J1471"/>
      <c r="K1471"/>
      <c r="L1471"/>
      <c r="M1471"/>
    </row>
    <row r="1472" spans="2:13" s="49" customFormat="1" ht="13.95" customHeight="1" x14ac:dyDescent="0.3">
      <c r="B1472" s="53"/>
      <c r="C1472" s="57"/>
      <c r="D1472"/>
      <c r="E1472" s="53"/>
      <c r="F1472"/>
      <c r="G1472"/>
      <c r="H1472"/>
      <c r="I1472"/>
      <c r="J1472"/>
      <c r="K1472"/>
      <c r="L1472"/>
      <c r="M1472"/>
    </row>
    <row r="1473" spans="2:13" s="49" customFormat="1" ht="13.95" customHeight="1" x14ac:dyDescent="0.3">
      <c r="B1473" s="53"/>
      <c r="C1473" s="57"/>
      <c r="D1473"/>
      <c r="E1473" s="53"/>
      <c r="F1473"/>
      <c r="G1473"/>
      <c r="H1473"/>
      <c r="I1473"/>
      <c r="J1473"/>
      <c r="K1473"/>
      <c r="L1473"/>
      <c r="M1473"/>
    </row>
    <row r="1474" spans="2:13" s="49" customFormat="1" ht="13.95" customHeight="1" x14ac:dyDescent="0.3">
      <c r="B1474" s="53"/>
      <c r="C1474" s="57"/>
      <c r="D1474"/>
      <c r="E1474" s="53"/>
      <c r="F1474"/>
      <c r="G1474"/>
      <c r="H1474"/>
      <c r="I1474"/>
      <c r="J1474"/>
      <c r="K1474"/>
      <c r="L1474"/>
      <c r="M1474"/>
    </row>
    <row r="1475" spans="2:13" s="49" customFormat="1" ht="13.95" customHeight="1" x14ac:dyDescent="0.3">
      <c r="B1475" s="53"/>
      <c r="C1475" s="57"/>
      <c r="D1475"/>
      <c r="E1475" s="53"/>
      <c r="F1475"/>
      <c r="G1475"/>
      <c r="H1475"/>
      <c r="I1475"/>
      <c r="J1475"/>
      <c r="K1475"/>
      <c r="L1475"/>
      <c r="M1475"/>
    </row>
    <row r="1476" spans="2:13" s="49" customFormat="1" ht="13.95" customHeight="1" x14ac:dyDescent="0.3">
      <c r="B1476" s="53"/>
      <c r="C1476" s="57"/>
      <c r="D1476"/>
      <c r="E1476" s="53"/>
      <c r="F1476"/>
      <c r="G1476"/>
      <c r="H1476"/>
      <c r="I1476"/>
      <c r="J1476"/>
      <c r="K1476"/>
      <c r="L1476"/>
      <c r="M1476"/>
    </row>
    <row r="1477" spans="2:13" s="49" customFormat="1" ht="13.95" customHeight="1" x14ac:dyDescent="0.3">
      <c r="B1477" s="53"/>
      <c r="C1477" s="57"/>
      <c r="D1477"/>
      <c r="E1477" s="53"/>
      <c r="F1477"/>
      <c r="G1477"/>
      <c r="H1477"/>
      <c r="I1477"/>
      <c r="J1477"/>
      <c r="K1477"/>
      <c r="L1477"/>
      <c r="M1477"/>
    </row>
    <row r="1478" spans="2:13" s="49" customFormat="1" ht="13.95" customHeight="1" x14ac:dyDescent="0.3">
      <c r="B1478" s="53"/>
      <c r="C1478" s="57"/>
      <c r="D1478"/>
      <c r="E1478" s="53"/>
      <c r="F1478"/>
      <c r="G1478"/>
      <c r="H1478"/>
      <c r="I1478"/>
      <c r="J1478"/>
      <c r="K1478"/>
      <c r="L1478"/>
      <c r="M1478"/>
    </row>
    <row r="1479" spans="2:13" s="49" customFormat="1" ht="13.95" customHeight="1" x14ac:dyDescent="0.3">
      <c r="B1479" s="53"/>
      <c r="C1479" s="57"/>
      <c r="D1479"/>
      <c r="E1479" s="53"/>
      <c r="F1479"/>
      <c r="G1479"/>
      <c r="H1479"/>
      <c r="I1479"/>
      <c r="J1479"/>
      <c r="K1479"/>
      <c r="L1479"/>
      <c r="M1479"/>
    </row>
    <row r="1480" spans="2:13" s="49" customFormat="1" ht="13.95" customHeight="1" x14ac:dyDescent="0.3">
      <c r="B1480" s="53"/>
      <c r="C1480" s="57"/>
      <c r="D1480"/>
      <c r="E1480" s="53"/>
      <c r="F1480"/>
      <c r="G1480"/>
      <c r="H1480"/>
      <c r="I1480"/>
      <c r="J1480"/>
      <c r="K1480"/>
      <c r="L1480"/>
      <c r="M1480"/>
    </row>
    <row r="1481" spans="2:13" s="49" customFormat="1" ht="13.95" customHeight="1" x14ac:dyDescent="0.3">
      <c r="B1481" s="53"/>
      <c r="C1481" s="57"/>
      <c r="D1481"/>
      <c r="E1481" s="53"/>
      <c r="F1481"/>
      <c r="G1481"/>
      <c r="H1481"/>
      <c r="I1481"/>
      <c r="J1481"/>
      <c r="K1481"/>
      <c r="L1481"/>
      <c r="M1481"/>
    </row>
    <row r="1482" spans="2:13" s="49" customFormat="1" ht="13.95" customHeight="1" x14ac:dyDescent="0.3">
      <c r="B1482" s="53"/>
      <c r="C1482" s="57"/>
      <c r="D1482"/>
      <c r="E1482" s="53"/>
      <c r="F1482"/>
      <c r="G1482"/>
      <c r="H1482"/>
      <c r="I1482"/>
      <c r="J1482"/>
      <c r="K1482"/>
      <c r="L1482"/>
      <c r="M1482"/>
    </row>
    <row r="1483" spans="2:13" s="49" customFormat="1" ht="13.95" customHeight="1" x14ac:dyDescent="0.3">
      <c r="B1483" s="53"/>
      <c r="C1483" s="57"/>
      <c r="D1483"/>
      <c r="E1483" s="53"/>
      <c r="F1483"/>
      <c r="G1483"/>
      <c r="H1483"/>
      <c r="I1483"/>
      <c r="J1483"/>
      <c r="K1483"/>
      <c r="L1483"/>
      <c r="M1483"/>
    </row>
    <row r="1484" spans="2:13" s="49" customFormat="1" ht="13.95" customHeight="1" x14ac:dyDescent="0.3">
      <c r="B1484" s="53"/>
      <c r="C1484" s="57"/>
      <c r="D1484"/>
      <c r="E1484" s="53"/>
      <c r="F1484"/>
      <c r="G1484"/>
      <c r="H1484"/>
      <c r="I1484"/>
      <c r="J1484"/>
      <c r="K1484"/>
      <c r="L1484"/>
      <c r="M1484"/>
    </row>
    <row r="1485" spans="2:13" s="49" customFormat="1" ht="13.95" customHeight="1" x14ac:dyDescent="0.3">
      <c r="B1485" s="53"/>
      <c r="C1485" s="57"/>
      <c r="D1485"/>
      <c r="E1485" s="53"/>
      <c r="F1485"/>
      <c r="G1485"/>
      <c r="H1485"/>
      <c r="I1485"/>
      <c r="J1485"/>
      <c r="K1485"/>
      <c r="L1485"/>
      <c r="M1485"/>
    </row>
    <row r="1486" spans="2:13" s="49" customFormat="1" ht="13.95" customHeight="1" x14ac:dyDescent="0.3">
      <c r="B1486" s="53"/>
      <c r="C1486" s="57"/>
      <c r="D1486"/>
      <c r="E1486" s="53"/>
      <c r="F1486"/>
      <c r="G1486"/>
      <c r="H1486"/>
      <c r="I1486"/>
      <c r="J1486"/>
      <c r="K1486"/>
      <c r="L1486"/>
      <c r="M1486"/>
    </row>
    <row r="1487" spans="2:13" s="49" customFormat="1" ht="13.95" customHeight="1" x14ac:dyDescent="0.3">
      <c r="B1487" s="53"/>
      <c r="C1487" s="57"/>
      <c r="D1487"/>
      <c r="E1487" s="53"/>
      <c r="F1487"/>
      <c r="G1487"/>
      <c r="H1487"/>
      <c r="I1487"/>
      <c r="J1487"/>
      <c r="K1487"/>
      <c r="L1487"/>
      <c r="M1487"/>
    </row>
    <row r="1488" spans="2:13" s="49" customFormat="1" ht="13.95" customHeight="1" x14ac:dyDescent="0.3">
      <c r="B1488" s="53"/>
      <c r="C1488" s="57"/>
      <c r="D1488"/>
      <c r="E1488" s="53"/>
      <c r="F1488"/>
      <c r="G1488"/>
      <c r="H1488"/>
      <c r="I1488"/>
      <c r="J1488"/>
      <c r="K1488"/>
      <c r="L1488"/>
      <c r="M1488"/>
    </row>
    <row r="1489" spans="2:13" s="49" customFormat="1" ht="13.95" customHeight="1" x14ac:dyDescent="0.3">
      <c r="B1489" s="53"/>
      <c r="C1489" s="57"/>
      <c r="D1489"/>
      <c r="E1489" s="53"/>
      <c r="F1489"/>
      <c r="G1489"/>
      <c r="H1489"/>
      <c r="I1489"/>
      <c r="J1489"/>
      <c r="K1489"/>
      <c r="L1489"/>
      <c r="M1489"/>
    </row>
    <row r="1490" spans="2:13" s="49" customFormat="1" ht="13.95" customHeight="1" x14ac:dyDescent="0.3">
      <c r="B1490" s="53"/>
      <c r="C1490" s="57"/>
      <c r="D1490"/>
      <c r="E1490" s="53"/>
      <c r="F1490"/>
      <c r="G1490"/>
      <c r="H1490"/>
      <c r="I1490"/>
      <c r="J1490"/>
      <c r="K1490"/>
      <c r="L1490"/>
      <c r="M1490"/>
    </row>
    <row r="1491" spans="2:13" s="49" customFormat="1" ht="13.95" customHeight="1" x14ac:dyDescent="0.3">
      <c r="B1491" s="53"/>
      <c r="C1491" s="57"/>
      <c r="D1491"/>
      <c r="E1491" s="53"/>
      <c r="F1491"/>
      <c r="G1491"/>
      <c r="H1491"/>
      <c r="I1491"/>
      <c r="J1491"/>
      <c r="K1491"/>
      <c r="L1491"/>
      <c r="M1491"/>
    </row>
    <row r="1492" spans="2:13" s="49" customFormat="1" ht="13.95" customHeight="1" x14ac:dyDescent="0.3">
      <c r="B1492" s="53"/>
      <c r="C1492" s="57"/>
      <c r="D1492"/>
      <c r="E1492" s="53"/>
      <c r="F1492"/>
      <c r="G1492"/>
      <c r="H1492"/>
      <c r="I1492"/>
      <c r="J1492"/>
      <c r="K1492"/>
      <c r="L1492"/>
      <c r="M1492"/>
    </row>
    <row r="1493" spans="2:13" s="49" customFormat="1" ht="13.95" customHeight="1" x14ac:dyDescent="0.3">
      <c r="B1493" s="53"/>
      <c r="C1493" s="57"/>
      <c r="D1493"/>
      <c r="E1493" s="53"/>
      <c r="F1493"/>
      <c r="G1493"/>
      <c r="H1493"/>
      <c r="I1493"/>
      <c r="J1493"/>
      <c r="K1493"/>
      <c r="L1493"/>
      <c r="M1493"/>
    </row>
    <row r="1494" spans="2:13" s="49" customFormat="1" ht="13.95" customHeight="1" x14ac:dyDescent="0.3">
      <c r="B1494" s="53"/>
      <c r="C1494" s="57"/>
      <c r="D1494"/>
      <c r="E1494" s="53"/>
      <c r="F1494"/>
      <c r="G1494"/>
      <c r="H1494"/>
      <c r="I1494"/>
      <c r="J1494"/>
      <c r="K1494"/>
      <c r="L1494"/>
      <c r="M1494"/>
    </row>
    <row r="1495" spans="2:13" s="49" customFormat="1" ht="13.95" customHeight="1" x14ac:dyDescent="0.3">
      <c r="B1495" s="53"/>
      <c r="C1495" s="57"/>
      <c r="D1495"/>
      <c r="E1495" s="53"/>
      <c r="F1495"/>
      <c r="G1495"/>
      <c r="H1495"/>
      <c r="I1495"/>
      <c r="J1495"/>
      <c r="K1495"/>
      <c r="L1495"/>
      <c r="M1495"/>
    </row>
    <row r="1496" spans="2:13" s="49" customFormat="1" ht="13.95" customHeight="1" x14ac:dyDescent="0.3">
      <c r="B1496" s="53"/>
      <c r="C1496" s="57"/>
      <c r="D1496"/>
      <c r="E1496" s="53"/>
      <c r="F1496"/>
      <c r="G1496"/>
      <c r="H1496"/>
      <c r="I1496"/>
      <c r="J1496"/>
      <c r="K1496"/>
      <c r="L1496"/>
      <c r="M1496"/>
    </row>
    <row r="1497" spans="2:13" s="49" customFormat="1" ht="13.95" customHeight="1" x14ac:dyDescent="0.3">
      <c r="B1497" s="53"/>
      <c r="C1497" s="57"/>
      <c r="D1497"/>
      <c r="E1497" s="53"/>
      <c r="F1497"/>
      <c r="G1497"/>
      <c r="H1497"/>
      <c r="I1497"/>
      <c r="J1497"/>
      <c r="K1497"/>
      <c r="L1497"/>
      <c r="M1497"/>
    </row>
    <row r="1498" spans="2:13" s="49" customFormat="1" ht="13.95" customHeight="1" x14ac:dyDescent="0.3">
      <c r="B1498" s="53"/>
      <c r="C1498" s="57"/>
      <c r="D1498"/>
      <c r="E1498" s="53"/>
      <c r="F1498"/>
      <c r="G1498"/>
      <c r="H1498"/>
      <c r="I1498"/>
      <c r="J1498"/>
      <c r="K1498"/>
      <c r="L1498"/>
      <c r="M1498"/>
    </row>
    <row r="1499" spans="2:13" s="49" customFormat="1" ht="13.95" customHeight="1" x14ac:dyDescent="0.3">
      <c r="B1499" s="53"/>
      <c r="C1499" s="57"/>
      <c r="D1499"/>
      <c r="E1499" s="53"/>
      <c r="F1499"/>
      <c r="G1499"/>
      <c r="H1499"/>
      <c r="I1499"/>
      <c r="J1499"/>
      <c r="K1499"/>
      <c r="L1499"/>
      <c r="M1499"/>
    </row>
    <row r="1500" spans="2:13" s="49" customFormat="1" ht="13.95" customHeight="1" x14ac:dyDescent="0.3">
      <c r="B1500" s="53"/>
      <c r="C1500" s="57"/>
      <c r="D1500"/>
      <c r="E1500" s="53"/>
      <c r="F1500"/>
      <c r="G1500"/>
      <c r="H1500"/>
      <c r="I1500"/>
      <c r="J1500"/>
      <c r="K1500"/>
      <c r="L1500"/>
      <c r="M1500"/>
    </row>
    <row r="1501" spans="2:13" s="49" customFormat="1" ht="13.95" customHeight="1" x14ac:dyDescent="0.3">
      <c r="B1501" s="53"/>
      <c r="C1501" s="57"/>
      <c r="D1501"/>
      <c r="E1501" s="53"/>
      <c r="F1501"/>
      <c r="G1501"/>
      <c r="H1501"/>
      <c r="I1501"/>
      <c r="J1501"/>
      <c r="K1501"/>
      <c r="L1501"/>
      <c r="M1501"/>
    </row>
    <row r="1502" spans="2:13" s="49" customFormat="1" ht="13.95" customHeight="1" x14ac:dyDescent="0.3">
      <c r="B1502" s="53"/>
      <c r="C1502" s="57"/>
      <c r="D1502"/>
      <c r="E1502" s="53"/>
      <c r="F1502"/>
      <c r="G1502"/>
      <c r="H1502"/>
      <c r="I1502"/>
      <c r="J1502"/>
      <c r="K1502"/>
      <c r="L1502"/>
      <c r="M1502"/>
    </row>
    <row r="1503" spans="2:13" s="49" customFormat="1" ht="13.95" customHeight="1" x14ac:dyDescent="0.3">
      <c r="B1503" s="53"/>
      <c r="C1503" s="57"/>
      <c r="D1503"/>
      <c r="E1503" s="53"/>
      <c r="F1503"/>
      <c r="G1503"/>
      <c r="H1503"/>
      <c r="I1503"/>
      <c r="J1503"/>
      <c r="K1503"/>
      <c r="L1503"/>
      <c r="M1503"/>
    </row>
    <row r="1504" spans="2:13" s="49" customFormat="1" ht="13.95" customHeight="1" x14ac:dyDescent="0.3">
      <c r="B1504" s="53"/>
      <c r="C1504" s="57"/>
      <c r="D1504"/>
      <c r="E1504" s="53"/>
      <c r="F1504"/>
      <c r="G1504"/>
      <c r="H1504"/>
      <c r="I1504"/>
      <c r="J1504"/>
      <c r="K1504"/>
      <c r="L1504"/>
      <c r="M1504"/>
    </row>
    <row r="1505" spans="2:13" s="49" customFormat="1" ht="13.95" customHeight="1" x14ac:dyDescent="0.3">
      <c r="B1505" s="53"/>
      <c r="C1505" s="57"/>
      <c r="D1505"/>
      <c r="E1505" s="53"/>
      <c r="F1505"/>
      <c r="G1505"/>
      <c r="H1505"/>
      <c r="I1505"/>
      <c r="J1505"/>
      <c r="K1505"/>
      <c r="L1505"/>
      <c r="M1505"/>
    </row>
    <row r="1506" spans="2:13" s="49" customFormat="1" ht="13.95" customHeight="1" x14ac:dyDescent="0.3">
      <c r="B1506" s="53"/>
      <c r="C1506" s="57"/>
      <c r="D1506"/>
      <c r="E1506" s="53"/>
      <c r="F1506"/>
      <c r="G1506"/>
      <c r="H1506"/>
      <c r="I1506"/>
      <c r="J1506"/>
      <c r="K1506"/>
      <c r="L1506"/>
      <c r="M1506"/>
    </row>
    <row r="1507" spans="2:13" s="49" customFormat="1" ht="13.95" customHeight="1" x14ac:dyDescent="0.3">
      <c r="B1507" s="53"/>
      <c r="C1507" s="57"/>
      <c r="D1507"/>
      <c r="E1507" s="53"/>
      <c r="F1507"/>
      <c r="G1507"/>
      <c r="H1507"/>
      <c r="I1507"/>
      <c r="J1507"/>
      <c r="K1507"/>
      <c r="L1507"/>
      <c r="M1507"/>
    </row>
    <row r="1508" spans="2:13" s="49" customFormat="1" ht="13.95" customHeight="1" x14ac:dyDescent="0.3">
      <c r="B1508" s="53"/>
      <c r="C1508" s="57"/>
      <c r="D1508"/>
      <c r="E1508" s="53"/>
      <c r="F1508"/>
      <c r="G1508"/>
      <c r="H1508"/>
      <c r="I1508"/>
      <c r="J1508"/>
      <c r="K1508"/>
      <c r="L1508"/>
      <c r="M1508"/>
    </row>
    <row r="1509" spans="2:13" s="49" customFormat="1" ht="13.95" customHeight="1" x14ac:dyDescent="0.3">
      <c r="B1509" s="53"/>
      <c r="C1509" s="57"/>
      <c r="D1509"/>
      <c r="E1509" s="53"/>
      <c r="F1509"/>
      <c r="G1509"/>
      <c r="H1509"/>
      <c r="I1509"/>
      <c r="J1509"/>
      <c r="K1509"/>
      <c r="L1509"/>
      <c r="M1509"/>
    </row>
    <row r="1510" spans="2:13" s="49" customFormat="1" ht="13.95" customHeight="1" x14ac:dyDescent="0.3">
      <c r="B1510" s="53"/>
      <c r="C1510" s="57"/>
      <c r="D1510"/>
      <c r="E1510" s="53"/>
      <c r="F1510"/>
      <c r="G1510"/>
      <c r="H1510"/>
      <c r="I1510"/>
      <c r="J1510"/>
      <c r="K1510"/>
      <c r="L1510"/>
      <c r="M1510"/>
    </row>
    <row r="1511" spans="2:13" s="49" customFormat="1" ht="13.95" customHeight="1" x14ac:dyDescent="0.3">
      <c r="B1511" s="53"/>
      <c r="C1511" s="57"/>
      <c r="D1511"/>
      <c r="E1511" s="53"/>
      <c r="F1511"/>
      <c r="G1511"/>
      <c r="H1511"/>
      <c r="I1511"/>
      <c r="J1511"/>
      <c r="K1511"/>
      <c r="L1511"/>
      <c r="M1511"/>
    </row>
    <row r="1512" spans="2:13" s="49" customFormat="1" ht="13.95" customHeight="1" x14ac:dyDescent="0.3">
      <c r="B1512" s="53"/>
      <c r="C1512" s="57"/>
      <c r="D1512"/>
      <c r="E1512" s="53"/>
      <c r="F1512"/>
      <c r="G1512"/>
      <c r="H1512"/>
      <c r="I1512"/>
      <c r="J1512"/>
      <c r="K1512"/>
      <c r="L1512"/>
      <c r="M1512"/>
    </row>
    <row r="1513" spans="2:13" s="49" customFormat="1" ht="13.95" customHeight="1" x14ac:dyDescent="0.3">
      <c r="B1513" s="53"/>
      <c r="C1513" s="57"/>
      <c r="D1513"/>
      <c r="E1513" s="53"/>
      <c r="F1513"/>
      <c r="G1513"/>
      <c r="H1513"/>
      <c r="I1513"/>
      <c r="J1513"/>
      <c r="K1513"/>
      <c r="L1513"/>
      <c r="M1513"/>
    </row>
    <row r="1514" spans="2:13" s="49" customFormat="1" ht="13.95" customHeight="1" x14ac:dyDescent="0.3">
      <c r="B1514" s="53"/>
      <c r="C1514" s="57"/>
      <c r="D1514"/>
      <c r="E1514" s="53"/>
      <c r="F1514"/>
      <c r="G1514"/>
      <c r="H1514"/>
      <c r="I1514"/>
      <c r="J1514"/>
      <c r="K1514"/>
      <c r="L1514"/>
      <c r="M1514"/>
    </row>
    <row r="1515" spans="2:13" s="49" customFormat="1" ht="13.95" customHeight="1" x14ac:dyDescent="0.3">
      <c r="B1515" s="53"/>
      <c r="C1515" s="57"/>
      <c r="D1515"/>
      <c r="E1515" s="53"/>
      <c r="F1515"/>
      <c r="G1515"/>
      <c r="H1515"/>
      <c r="I1515"/>
      <c r="J1515"/>
      <c r="K1515"/>
      <c r="L1515"/>
      <c r="M1515"/>
    </row>
    <row r="1516" spans="2:13" s="49" customFormat="1" ht="13.95" customHeight="1" x14ac:dyDescent="0.3">
      <c r="B1516" s="53"/>
      <c r="C1516" s="57"/>
      <c r="D1516"/>
      <c r="E1516" s="53"/>
      <c r="F1516"/>
      <c r="G1516"/>
      <c r="H1516"/>
      <c r="I1516"/>
      <c r="J1516"/>
      <c r="K1516"/>
      <c r="L1516"/>
      <c r="M1516"/>
    </row>
    <row r="1517" spans="2:13" s="49" customFormat="1" ht="13.95" customHeight="1" x14ac:dyDescent="0.3">
      <c r="B1517" s="53"/>
      <c r="C1517" s="57"/>
      <c r="D1517"/>
      <c r="E1517" s="53"/>
      <c r="F1517"/>
      <c r="G1517"/>
      <c r="H1517"/>
      <c r="I1517"/>
      <c r="J1517"/>
      <c r="K1517"/>
      <c r="L1517"/>
      <c r="M1517"/>
    </row>
    <row r="1518" spans="2:13" s="49" customFormat="1" ht="13.95" customHeight="1" x14ac:dyDescent="0.3">
      <c r="B1518" s="53"/>
      <c r="C1518" s="57"/>
      <c r="D1518"/>
      <c r="E1518" s="53"/>
      <c r="F1518"/>
      <c r="G1518"/>
      <c r="H1518"/>
      <c r="I1518"/>
      <c r="J1518"/>
      <c r="K1518"/>
      <c r="L1518"/>
      <c r="M1518"/>
    </row>
    <row r="1519" spans="2:13" s="49" customFormat="1" ht="13.95" customHeight="1" x14ac:dyDescent="0.3">
      <c r="B1519" s="53"/>
      <c r="C1519" s="57"/>
      <c r="D1519"/>
      <c r="E1519" s="53"/>
      <c r="F1519"/>
      <c r="G1519"/>
      <c r="H1519"/>
      <c r="I1519"/>
      <c r="J1519"/>
      <c r="K1519"/>
      <c r="L1519"/>
      <c r="M1519"/>
    </row>
    <row r="1520" spans="2:13" s="49" customFormat="1" ht="13.95" customHeight="1" x14ac:dyDescent="0.3">
      <c r="B1520" s="53"/>
      <c r="C1520" s="57"/>
      <c r="D1520"/>
      <c r="E1520" s="53"/>
      <c r="F1520"/>
      <c r="G1520"/>
      <c r="H1520"/>
      <c r="I1520"/>
      <c r="J1520"/>
      <c r="K1520"/>
      <c r="L1520"/>
      <c r="M1520"/>
    </row>
    <row r="1521" spans="2:13" s="49" customFormat="1" ht="13.95" customHeight="1" x14ac:dyDescent="0.3">
      <c r="B1521" s="53"/>
      <c r="C1521" s="57"/>
      <c r="D1521"/>
      <c r="E1521" s="53"/>
      <c r="F1521"/>
      <c r="G1521"/>
      <c r="H1521"/>
      <c r="I1521"/>
      <c r="J1521"/>
      <c r="K1521"/>
      <c r="L1521"/>
      <c r="M1521"/>
    </row>
    <row r="1522" spans="2:13" s="49" customFormat="1" ht="13.95" customHeight="1" x14ac:dyDescent="0.3">
      <c r="B1522" s="53"/>
      <c r="C1522" s="57"/>
      <c r="D1522"/>
      <c r="E1522" s="53"/>
      <c r="F1522"/>
      <c r="G1522"/>
      <c r="H1522"/>
      <c r="I1522"/>
      <c r="J1522"/>
      <c r="K1522"/>
      <c r="L1522"/>
      <c r="M1522"/>
    </row>
    <row r="1523" spans="2:13" s="49" customFormat="1" ht="13.95" customHeight="1" x14ac:dyDescent="0.3">
      <c r="B1523" s="53"/>
      <c r="C1523" s="57"/>
      <c r="D1523"/>
      <c r="E1523" s="53"/>
      <c r="F1523"/>
      <c r="G1523"/>
      <c r="H1523"/>
      <c r="I1523"/>
      <c r="J1523"/>
      <c r="K1523"/>
      <c r="L1523"/>
      <c r="M1523"/>
    </row>
    <row r="1524" spans="2:13" s="49" customFormat="1" ht="13.95" customHeight="1" x14ac:dyDescent="0.3">
      <c r="B1524" s="53"/>
      <c r="C1524" s="57"/>
      <c r="D1524"/>
      <c r="E1524" s="53"/>
      <c r="F1524"/>
      <c r="G1524"/>
      <c r="H1524"/>
      <c r="I1524"/>
      <c r="J1524"/>
      <c r="K1524"/>
      <c r="L1524"/>
      <c r="M1524"/>
    </row>
    <row r="1525" spans="2:13" s="49" customFormat="1" ht="13.95" customHeight="1" x14ac:dyDescent="0.3">
      <c r="B1525" s="53"/>
      <c r="C1525" s="57"/>
      <c r="D1525"/>
      <c r="E1525" s="53"/>
      <c r="F1525"/>
      <c r="G1525"/>
      <c r="H1525"/>
      <c r="I1525"/>
      <c r="J1525"/>
      <c r="K1525"/>
      <c r="L1525"/>
      <c r="M1525"/>
    </row>
    <row r="1526" spans="2:13" s="49" customFormat="1" ht="13.95" customHeight="1" x14ac:dyDescent="0.3">
      <c r="B1526" s="53"/>
      <c r="C1526" s="57"/>
      <c r="D1526"/>
      <c r="E1526" s="53"/>
      <c r="F1526"/>
      <c r="G1526"/>
      <c r="H1526"/>
      <c r="I1526"/>
      <c r="J1526"/>
      <c r="K1526"/>
      <c r="L1526"/>
      <c r="M1526"/>
    </row>
    <row r="1527" spans="2:13" s="49" customFormat="1" ht="13.95" customHeight="1" x14ac:dyDescent="0.3">
      <c r="B1527" s="53"/>
      <c r="C1527" s="57"/>
      <c r="D1527"/>
      <c r="E1527" s="53"/>
      <c r="F1527"/>
      <c r="G1527"/>
      <c r="H1527"/>
      <c r="I1527"/>
      <c r="J1527"/>
      <c r="K1527"/>
      <c r="L1527"/>
      <c r="M1527"/>
    </row>
    <row r="1528" spans="2:13" s="49" customFormat="1" ht="13.95" customHeight="1" x14ac:dyDescent="0.3">
      <c r="B1528" s="53"/>
      <c r="C1528" s="57"/>
      <c r="D1528"/>
      <c r="E1528" s="53"/>
      <c r="F1528"/>
      <c r="G1528"/>
      <c r="H1528"/>
      <c r="I1528"/>
      <c r="J1528"/>
      <c r="K1528"/>
      <c r="L1528"/>
      <c r="M1528"/>
    </row>
    <row r="1529" spans="2:13" s="49" customFormat="1" ht="13.95" customHeight="1" x14ac:dyDescent="0.3">
      <c r="B1529" s="53"/>
      <c r="C1529" s="57"/>
      <c r="D1529"/>
      <c r="E1529" s="53"/>
      <c r="F1529"/>
      <c r="G1529"/>
      <c r="H1529"/>
      <c r="I1529"/>
      <c r="J1529"/>
      <c r="K1529"/>
      <c r="L1529"/>
      <c r="M1529"/>
    </row>
    <row r="1530" spans="2:13" s="49" customFormat="1" ht="13.95" customHeight="1" x14ac:dyDescent="0.3">
      <c r="B1530" s="53"/>
      <c r="C1530" s="57"/>
      <c r="D1530"/>
      <c r="E1530" s="53"/>
      <c r="F1530"/>
      <c r="G1530"/>
      <c r="H1530"/>
      <c r="I1530"/>
      <c r="J1530"/>
      <c r="K1530"/>
      <c r="L1530"/>
      <c r="M1530"/>
    </row>
    <row r="1531" spans="2:13" s="49" customFormat="1" ht="13.95" customHeight="1" x14ac:dyDescent="0.3">
      <c r="B1531" s="53"/>
      <c r="C1531" s="57"/>
      <c r="D1531"/>
      <c r="E1531" s="53"/>
      <c r="F1531"/>
      <c r="G1531"/>
      <c r="H1531"/>
      <c r="I1531"/>
      <c r="J1531"/>
      <c r="K1531"/>
      <c r="L1531"/>
      <c r="M1531"/>
    </row>
    <row r="1532" spans="2:13" s="49" customFormat="1" ht="13.95" customHeight="1" x14ac:dyDescent="0.3">
      <c r="B1532" s="53"/>
      <c r="C1532" s="57"/>
      <c r="D1532"/>
      <c r="E1532" s="53"/>
      <c r="F1532"/>
      <c r="G1532"/>
      <c r="H1532"/>
      <c r="I1532"/>
      <c r="J1532"/>
      <c r="K1532"/>
      <c r="L1532"/>
      <c r="M1532"/>
    </row>
    <row r="1533" spans="2:13" s="49" customFormat="1" ht="13.95" customHeight="1" x14ac:dyDescent="0.3">
      <c r="B1533" s="53"/>
      <c r="C1533" s="57"/>
      <c r="D1533"/>
      <c r="E1533" s="53"/>
      <c r="F1533"/>
      <c r="G1533"/>
      <c r="H1533"/>
      <c r="I1533"/>
      <c r="J1533"/>
      <c r="K1533"/>
      <c r="L1533"/>
      <c r="M1533"/>
    </row>
    <row r="1534" spans="2:13" s="49" customFormat="1" ht="13.95" customHeight="1" x14ac:dyDescent="0.3">
      <c r="B1534" s="53"/>
      <c r="C1534" s="57"/>
      <c r="D1534"/>
      <c r="E1534" s="53"/>
      <c r="F1534"/>
      <c r="G1534"/>
      <c r="H1534"/>
      <c r="I1534"/>
      <c r="J1534"/>
      <c r="K1534"/>
      <c r="L1534"/>
      <c r="M1534"/>
    </row>
    <row r="1535" spans="2:13" s="49" customFormat="1" ht="13.95" customHeight="1" x14ac:dyDescent="0.3">
      <c r="B1535" s="53"/>
      <c r="C1535" s="57"/>
      <c r="D1535"/>
      <c r="E1535" s="53"/>
      <c r="F1535"/>
      <c r="G1535"/>
      <c r="H1535"/>
      <c r="I1535"/>
      <c r="J1535"/>
      <c r="K1535"/>
      <c r="L1535"/>
      <c r="M1535"/>
    </row>
    <row r="1536" spans="2:13" s="49" customFormat="1" ht="13.95" customHeight="1" x14ac:dyDescent="0.3">
      <c r="B1536" s="53"/>
      <c r="C1536" s="57"/>
      <c r="D1536"/>
      <c r="E1536" s="53"/>
      <c r="F1536"/>
      <c r="G1536"/>
      <c r="H1536"/>
      <c r="I1536"/>
      <c r="J1536"/>
      <c r="K1536"/>
      <c r="L1536"/>
      <c r="M1536"/>
    </row>
    <row r="1537" spans="2:13" s="49" customFormat="1" ht="13.95" customHeight="1" x14ac:dyDescent="0.3">
      <c r="B1537" s="53"/>
      <c r="C1537" s="57"/>
      <c r="D1537"/>
      <c r="E1537" s="53"/>
      <c r="F1537"/>
      <c r="G1537"/>
      <c r="H1537"/>
      <c r="I1537"/>
      <c r="J1537"/>
      <c r="K1537"/>
      <c r="L1537"/>
      <c r="M1537"/>
    </row>
    <row r="1538" spans="2:13" s="49" customFormat="1" ht="13.95" customHeight="1" x14ac:dyDescent="0.3">
      <c r="B1538" s="53"/>
      <c r="C1538" s="57"/>
      <c r="D1538"/>
      <c r="E1538" s="53"/>
      <c r="F1538"/>
      <c r="G1538"/>
      <c r="H1538"/>
      <c r="I1538"/>
      <c r="J1538"/>
      <c r="K1538"/>
      <c r="L1538"/>
      <c r="M1538"/>
    </row>
    <row r="1539" spans="2:13" s="49" customFormat="1" ht="13.95" customHeight="1" x14ac:dyDescent="0.3">
      <c r="B1539" s="53"/>
      <c r="C1539" s="57"/>
      <c r="D1539"/>
      <c r="E1539" s="53"/>
      <c r="F1539"/>
      <c r="G1539"/>
      <c r="H1539"/>
      <c r="I1539"/>
      <c r="J1539"/>
      <c r="K1539"/>
      <c r="L1539"/>
      <c r="M1539"/>
    </row>
    <row r="1540" spans="2:13" s="49" customFormat="1" ht="13.95" customHeight="1" x14ac:dyDescent="0.3">
      <c r="B1540" s="53"/>
      <c r="C1540" s="57"/>
      <c r="D1540"/>
      <c r="E1540" s="53"/>
      <c r="F1540"/>
      <c r="G1540"/>
      <c r="H1540"/>
      <c r="I1540"/>
      <c r="J1540"/>
      <c r="K1540"/>
      <c r="L1540"/>
      <c r="M1540"/>
    </row>
    <row r="1541" spans="2:13" s="49" customFormat="1" ht="13.95" customHeight="1" x14ac:dyDescent="0.3">
      <c r="B1541" s="53"/>
      <c r="C1541" s="57"/>
      <c r="D1541"/>
      <c r="E1541" s="53"/>
      <c r="F1541"/>
      <c r="G1541"/>
      <c r="H1541"/>
      <c r="I1541"/>
      <c r="J1541"/>
      <c r="K1541"/>
      <c r="L1541"/>
      <c r="M1541"/>
    </row>
    <row r="1542" spans="2:13" s="49" customFormat="1" ht="13.95" customHeight="1" x14ac:dyDescent="0.3">
      <c r="B1542" s="53"/>
      <c r="C1542" s="57"/>
      <c r="D1542"/>
      <c r="E1542" s="53"/>
      <c r="F1542"/>
      <c r="G1542"/>
      <c r="H1542"/>
      <c r="I1542"/>
      <c r="J1542"/>
      <c r="K1542"/>
      <c r="L1542"/>
      <c r="M1542"/>
    </row>
    <row r="1543" spans="2:13" s="49" customFormat="1" ht="13.95" customHeight="1" x14ac:dyDescent="0.3">
      <c r="B1543" s="53"/>
      <c r="C1543" s="57"/>
      <c r="D1543"/>
      <c r="E1543" s="53"/>
      <c r="F1543"/>
      <c r="G1543"/>
      <c r="H1543"/>
      <c r="I1543"/>
      <c r="J1543"/>
      <c r="K1543"/>
      <c r="L1543"/>
      <c r="M1543"/>
    </row>
    <row r="1544" spans="2:13" s="49" customFormat="1" ht="13.95" customHeight="1" x14ac:dyDescent="0.3">
      <c r="B1544" s="53"/>
      <c r="C1544" s="57"/>
      <c r="D1544"/>
      <c r="E1544" s="53"/>
      <c r="F1544"/>
      <c r="G1544"/>
      <c r="H1544"/>
      <c r="I1544"/>
      <c r="J1544"/>
      <c r="K1544"/>
      <c r="L1544"/>
      <c r="M1544"/>
    </row>
    <row r="1545" spans="2:13" s="49" customFormat="1" ht="13.95" customHeight="1" x14ac:dyDescent="0.3">
      <c r="B1545" s="53"/>
      <c r="C1545" s="57"/>
      <c r="D1545"/>
      <c r="E1545" s="53"/>
      <c r="F1545"/>
      <c r="G1545"/>
      <c r="H1545"/>
      <c r="I1545"/>
      <c r="J1545"/>
      <c r="K1545"/>
      <c r="L1545"/>
      <c r="M1545"/>
    </row>
    <row r="1546" spans="2:13" s="49" customFormat="1" ht="13.95" customHeight="1" x14ac:dyDescent="0.3">
      <c r="B1546" s="53"/>
      <c r="C1546" s="57"/>
      <c r="D1546"/>
      <c r="E1546" s="53"/>
      <c r="F1546"/>
      <c r="G1546"/>
      <c r="H1546"/>
      <c r="I1546"/>
      <c r="J1546"/>
      <c r="K1546"/>
      <c r="L1546"/>
      <c r="M1546"/>
    </row>
    <row r="1547" spans="2:13" s="49" customFormat="1" ht="13.95" customHeight="1" x14ac:dyDescent="0.3">
      <c r="B1547" s="53"/>
      <c r="C1547" s="57"/>
      <c r="D1547"/>
      <c r="E1547" s="53"/>
      <c r="F1547"/>
      <c r="G1547"/>
      <c r="H1547"/>
      <c r="I1547"/>
      <c r="J1547"/>
      <c r="K1547"/>
      <c r="L1547"/>
      <c r="M1547"/>
    </row>
    <row r="1548" spans="2:13" s="49" customFormat="1" ht="13.95" customHeight="1" x14ac:dyDescent="0.3">
      <c r="B1548" s="53"/>
      <c r="C1548" s="57"/>
      <c r="D1548"/>
      <c r="E1548" s="53"/>
      <c r="F1548"/>
      <c r="G1548"/>
      <c r="H1548"/>
      <c r="I1548"/>
      <c r="J1548"/>
      <c r="K1548"/>
      <c r="L1548"/>
      <c r="M1548"/>
    </row>
    <row r="1549" spans="2:13" s="49" customFormat="1" ht="13.95" customHeight="1" x14ac:dyDescent="0.3">
      <c r="B1549" s="53"/>
      <c r="C1549" s="57"/>
      <c r="D1549"/>
      <c r="E1549" s="53"/>
      <c r="F1549"/>
      <c r="G1549"/>
      <c r="H1549"/>
      <c r="I1549"/>
      <c r="J1549"/>
      <c r="K1549"/>
      <c r="L1549"/>
      <c r="M1549"/>
    </row>
    <row r="1550" spans="2:13" s="49" customFormat="1" ht="13.95" customHeight="1" x14ac:dyDescent="0.3">
      <c r="B1550" s="53"/>
      <c r="C1550" s="57"/>
      <c r="D1550"/>
      <c r="E1550" s="53"/>
      <c r="F1550"/>
      <c r="G1550"/>
      <c r="H1550"/>
      <c r="I1550"/>
      <c r="J1550"/>
      <c r="K1550"/>
      <c r="L1550"/>
      <c r="M1550"/>
    </row>
    <row r="1551" spans="2:13" s="49" customFormat="1" ht="13.95" customHeight="1" x14ac:dyDescent="0.3">
      <c r="B1551" s="53"/>
      <c r="C1551" s="57"/>
      <c r="D1551"/>
      <c r="E1551" s="53"/>
      <c r="F1551"/>
      <c r="G1551"/>
      <c r="H1551"/>
      <c r="I1551"/>
      <c r="J1551"/>
      <c r="K1551"/>
      <c r="L1551"/>
      <c r="M1551"/>
    </row>
    <row r="1552" spans="2:13" s="49" customFormat="1" ht="13.95" customHeight="1" x14ac:dyDescent="0.3">
      <c r="B1552" s="53"/>
      <c r="C1552" s="57"/>
      <c r="D1552"/>
      <c r="E1552" s="53"/>
      <c r="F1552"/>
      <c r="G1552"/>
      <c r="H1552"/>
      <c r="I1552"/>
      <c r="J1552"/>
      <c r="K1552"/>
      <c r="L1552"/>
      <c r="M1552"/>
    </row>
    <row r="1553" spans="2:13" s="49" customFormat="1" ht="13.95" customHeight="1" x14ac:dyDescent="0.3">
      <c r="B1553" s="53"/>
      <c r="C1553" s="57"/>
      <c r="D1553"/>
      <c r="E1553" s="53"/>
      <c r="F1553"/>
      <c r="G1553"/>
      <c r="H1553"/>
      <c r="I1553"/>
      <c r="J1553"/>
      <c r="K1553"/>
      <c r="L1553"/>
      <c r="M1553"/>
    </row>
    <row r="1554" spans="2:13" s="49" customFormat="1" ht="13.95" customHeight="1" x14ac:dyDescent="0.3">
      <c r="B1554" s="53"/>
      <c r="C1554" s="57"/>
      <c r="D1554"/>
      <c r="E1554" s="53"/>
      <c r="F1554"/>
      <c r="G1554"/>
      <c r="H1554"/>
      <c r="I1554"/>
      <c r="J1554"/>
      <c r="K1554"/>
      <c r="L1554"/>
      <c r="M1554"/>
    </row>
    <row r="1555" spans="2:13" s="49" customFormat="1" ht="13.95" customHeight="1" x14ac:dyDescent="0.3">
      <c r="B1555" s="53"/>
      <c r="C1555" s="57"/>
      <c r="D1555"/>
      <c r="E1555" s="53"/>
      <c r="F1555"/>
      <c r="G1555"/>
      <c r="H1555"/>
      <c r="I1555"/>
      <c r="J1555"/>
      <c r="K1555"/>
      <c r="L1555"/>
      <c r="M1555"/>
    </row>
    <row r="1556" spans="2:13" s="49" customFormat="1" ht="13.95" customHeight="1" x14ac:dyDescent="0.3">
      <c r="B1556" s="53"/>
      <c r="C1556" s="57"/>
      <c r="D1556"/>
      <c r="E1556" s="53"/>
      <c r="F1556"/>
      <c r="G1556"/>
      <c r="H1556"/>
      <c r="I1556"/>
      <c r="J1556"/>
      <c r="K1556"/>
      <c r="L1556"/>
      <c r="M1556"/>
    </row>
    <row r="1557" spans="2:13" s="49" customFormat="1" ht="13.95" customHeight="1" x14ac:dyDescent="0.3">
      <c r="B1557" s="53"/>
      <c r="C1557" s="57"/>
      <c r="D1557"/>
      <c r="E1557" s="53"/>
      <c r="F1557"/>
      <c r="G1557"/>
      <c r="H1557"/>
      <c r="I1557"/>
      <c r="J1557"/>
      <c r="K1557"/>
      <c r="L1557"/>
      <c r="M1557"/>
    </row>
    <row r="1558" spans="2:13" s="49" customFormat="1" ht="13.95" customHeight="1" x14ac:dyDescent="0.3">
      <c r="B1558" s="53"/>
      <c r="C1558" s="57"/>
      <c r="D1558"/>
      <c r="E1558" s="53"/>
      <c r="F1558"/>
      <c r="G1558"/>
      <c r="H1558"/>
      <c r="I1558"/>
      <c r="J1558"/>
      <c r="K1558"/>
      <c r="L1558"/>
      <c r="M1558"/>
    </row>
    <row r="1559" spans="2:13" s="49" customFormat="1" ht="13.95" customHeight="1" x14ac:dyDescent="0.3">
      <c r="B1559" s="53"/>
      <c r="C1559" s="57"/>
      <c r="D1559"/>
      <c r="E1559" s="53"/>
      <c r="F1559"/>
      <c r="G1559"/>
      <c r="H1559"/>
      <c r="I1559"/>
      <c r="J1559"/>
      <c r="K1559"/>
      <c r="L1559"/>
      <c r="M1559"/>
    </row>
    <row r="1560" spans="2:13" s="49" customFormat="1" ht="13.95" customHeight="1" x14ac:dyDescent="0.3">
      <c r="B1560" s="53"/>
      <c r="C1560" s="57"/>
      <c r="D1560"/>
      <c r="E1560" s="53"/>
      <c r="F1560"/>
      <c r="G1560"/>
      <c r="H1560"/>
      <c r="I1560"/>
      <c r="J1560"/>
      <c r="K1560"/>
      <c r="L1560"/>
      <c r="M1560"/>
    </row>
    <row r="1561" spans="2:13" s="49" customFormat="1" ht="13.95" customHeight="1" x14ac:dyDescent="0.3">
      <c r="B1561" s="53"/>
      <c r="C1561" s="57"/>
      <c r="D1561"/>
      <c r="E1561" s="53"/>
      <c r="F1561"/>
      <c r="G1561"/>
      <c r="H1561"/>
      <c r="I1561"/>
      <c r="J1561"/>
      <c r="K1561"/>
      <c r="L1561"/>
      <c r="M1561"/>
    </row>
    <row r="1562" spans="2:13" s="49" customFormat="1" ht="13.95" customHeight="1" x14ac:dyDescent="0.3">
      <c r="B1562" s="53"/>
      <c r="C1562" s="57"/>
      <c r="D1562"/>
      <c r="E1562" s="53"/>
      <c r="F1562"/>
      <c r="G1562"/>
      <c r="H1562"/>
      <c r="I1562"/>
      <c r="J1562"/>
      <c r="K1562"/>
      <c r="L1562"/>
      <c r="M1562"/>
    </row>
    <row r="1563" spans="2:13" s="49" customFormat="1" ht="13.95" customHeight="1" x14ac:dyDescent="0.3">
      <c r="B1563" s="53"/>
      <c r="C1563" s="57"/>
      <c r="D1563"/>
      <c r="E1563" s="53"/>
      <c r="F1563"/>
      <c r="G1563"/>
      <c r="H1563"/>
      <c r="I1563"/>
      <c r="J1563"/>
      <c r="K1563"/>
      <c r="L1563"/>
      <c r="M1563"/>
    </row>
    <row r="1564" spans="2:13" s="49" customFormat="1" ht="13.95" customHeight="1" x14ac:dyDescent="0.3">
      <c r="B1564" s="53"/>
      <c r="C1564" s="57"/>
      <c r="D1564"/>
      <c r="E1564" s="53"/>
      <c r="F1564"/>
      <c r="G1564"/>
      <c r="H1564"/>
      <c r="I1564"/>
      <c r="J1564"/>
      <c r="K1564"/>
      <c r="L1564"/>
      <c r="M1564"/>
    </row>
    <row r="1565" spans="2:13" s="49" customFormat="1" ht="13.95" customHeight="1" x14ac:dyDescent="0.3">
      <c r="B1565" s="53"/>
      <c r="C1565" s="57"/>
      <c r="D1565"/>
      <c r="E1565" s="53"/>
      <c r="F1565"/>
      <c r="G1565"/>
      <c r="H1565"/>
      <c r="I1565"/>
      <c r="J1565"/>
      <c r="K1565"/>
      <c r="L1565"/>
      <c r="M1565"/>
    </row>
    <row r="1566" spans="2:13" s="49" customFormat="1" ht="13.95" customHeight="1" x14ac:dyDescent="0.3">
      <c r="B1566" s="53"/>
      <c r="C1566" s="57"/>
      <c r="D1566"/>
      <c r="E1566" s="53"/>
      <c r="F1566"/>
      <c r="G1566"/>
      <c r="H1566"/>
      <c r="I1566"/>
      <c r="J1566"/>
      <c r="K1566"/>
      <c r="L1566"/>
      <c r="M1566"/>
    </row>
    <row r="1567" spans="2:13" s="49" customFormat="1" ht="13.95" customHeight="1" x14ac:dyDescent="0.3">
      <c r="B1567" s="53"/>
      <c r="C1567" s="57"/>
      <c r="D1567"/>
      <c r="E1567" s="53"/>
      <c r="F1567"/>
      <c r="G1567"/>
      <c r="H1567"/>
      <c r="I1567"/>
      <c r="J1567"/>
      <c r="K1567"/>
      <c r="L1567"/>
      <c r="M1567"/>
    </row>
    <row r="1568" spans="2:13" s="49" customFormat="1" ht="13.95" customHeight="1" x14ac:dyDescent="0.3">
      <c r="B1568" s="53"/>
      <c r="C1568" s="57"/>
      <c r="D1568"/>
      <c r="E1568" s="53"/>
      <c r="F1568"/>
      <c r="G1568"/>
      <c r="H1568"/>
      <c r="I1568"/>
      <c r="J1568"/>
      <c r="K1568"/>
      <c r="L1568"/>
      <c r="M1568"/>
    </row>
    <row r="1569" spans="2:13" s="49" customFormat="1" ht="13.95" customHeight="1" x14ac:dyDescent="0.3">
      <c r="B1569" s="53"/>
      <c r="C1569" s="57"/>
      <c r="D1569"/>
      <c r="E1569" s="53"/>
      <c r="F1569"/>
      <c r="G1569"/>
      <c r="H1569"/>
      <c r="I1569"/>
      <c r="J1569"/>
      <c r="K1569"/>
      <c r="L1569"/>
      <c r="M1569"/>
    </row>
    <row r="1570" spans="2:13" s="49" customFormat="1" ht="13.95" customHeight="1" x14ac:dyDescent="0.3">
      <c r="B1570" s="53"/>
      <c r="C1570" s="57"/>
      <c r="D1570"/>
      <c r="E1570" s="53"/>
      <c r="F1570"/>
      <c r="G1570"/>
      <c r="H1570"/>
      <c r="I1570"/>
      <c r="J1570"/>
      <c r="K1570"/>
      <c r="L1570"/>
      <c r="M1570"/>
    </row>
    <row r="1571" spans="2:13" s="49" customFormat="1" ht="13.95" customHeight="1" x14ac:dyDescent="0.3">
      <c r="B1571" s="53"/>
      <c r="C1571" s="57"/>
      <c r="D1571"/>
      <c r="E1571" s="53"/>
      <c r="F1571"/>
      <c r="G1571"/>
      <c r="H1571"/>
      <c r="I1571"/>
      <c r="J1571"/>
      <c r="K1571"/>
      <c r="L1571"/>
      <c r="M1571"/>
    </row>
    <row r="1572" spans="2:13" s="49" customFormat="1" ht="13.95" customHeight="1" x14ac:dyDescent="0.3">
      <c r="B1572" s="53"/>
      <c r="C1572" s="57"/>
      <c r="D1572"/>
      <c r="E1572" s="53"/>
      <c r="F1572"/>
      <c r="G1572"/>
      <c r="H1572"/>
      <c r="I1572"/>
      <c r="J1572"/>
      <c r="K1572"/>
      <c r="L1572"/>
      <c r="M1572"/>
    </row>
    <row r="1573" spans="2:13" s="49" customFormat="1" ht="13.95" customHeight="1" x14ac:dyDescent="0.3">
      <c r="B1573" s="53"/>
      <c r="C1573" s="57"/>
      <c r="D1573"/>
      <c r="E1573" s="53"/>
      <c r="F1573"/>
      <c r="G1573"/>
      <c r="H1573"/>
      <c r="I1573"/>
      <c r="J1573"/>
      <c r="K1573"/>
      <c r="L1573"/>
      <c r="M1573"/>
    </row>
    <row r="1574" spans="2:13" s="49" customFormat="1" ht="13.95" customHeight="1" x14ac:dyDescent="0.3">
      <c r="B1574" s="53"/>
      <c r="C1574" s="57"/>
      <c r="D1574"/>
      <c r="E1574" s="53"/>
      <c r="F1574"/>
      <c r="G1574"/>
      <c r="H1574"/>
      <c r="I1574"/>
      <c r="J1574"/>
      <c r="K1574"/>
      <c r="L1574"/>
      <c r="M1574"/>
    </row>
    <row r="1575" spans="2:13" s="49" customFormat="1" ht="13.95" customHeight="1" x14ac:dyDescent="0.3">
      <c r="B1575" s="53"/>
      <c r="C1575" s="57"/>
      <c r="D1575"/>
      <c r="E1575" s="53"/>
      <c r="F1575"/>
      <c r="G1575"/>
      <c r="H1575"/>
      <c r="I1575"/>
      <c r="J1575"/>
      <c r="K1575"/>
      <c r="L1575"/>
      <c r="M1575"/>
    </row>
    <row r="1576" spans="2:13" s="49" customFormat="1" ht="13.95" customHeight="1" x14ac:dyDescent="0.3">
      <c r="B1576" s="53"/>
      <c r="C1576" s="57"/>
      <c r="D1576"/>
      <c r="E1576" s="53"/>
      <c r="F1576"/>
      <c r="G1576"/>
      <c r="H1576"/>
      <c r="I1576"/>
      <c r="J1576"/>
      <c r="K1576"/>
      <c r="L1576"/>
      <c r="M1576"/>
    </row>
    <row r="1577" spans="2:13" s="49" customFormat="1" ht="13.95" customHeight="1" x14ac:dyDescent="0.3">
      <c r="B1577" s="53"/>
      <c r="C1577" s="57"/>
      <c r="D1577"/>
      <c r="E1577" s="53"/>
      <c r="F1577"/>
      <c r="G1577"/>
      <c r="H1577"/>
      <c r="I1577"/>
      <c r="J1577"/>
      <c r="K1577"/>
      <c r="L1577"/>
      <c r="M1577"/>
    </row>
    <row r="1578" spans="2:13" s="49" customFormat="1" ht="13.95" customHeight="1" x14ac:dyDescent="0.3">
      <c r="B1578" s="53"/>
      <c r="C1578" s="57"/>
      <c r="D1578"/>
      <c r="E1578" s="53"/>
      <c r="F1578"/>
      <c r="G1578"/>
      <c r="H1578"/>
      <c r="I1578"/>
      <c r="J1578"/>
      <c r="K1578"/>
      <c r="L1578"/>
      <c r="M1578"/>
    </row>
    <row r="1579" spans="2:13" s="49" customFormat="1" ht="13.95" customHeight="1" x14ac:dyDescent="0.3">
      <c r="B1579" s="53"/>
      <c r="C1579" s="57"/>
      <c r="D1579"/>
      <c r="E1579" s="53"/>
      <c r="F1579"/>
      <c r="G1579"/>
      <c r="H1579"/>
      <c r="I1579"/>
      <c r="J1579"/>
      <c r="K1579"/>
      <c r="L1579"/>
      <c r="M1579"/>
    </row>
    <row r="1580" spans="2:13" s="49" customFormat="1" ht="13.95" customHeight="1" x14ac:dyDescent="0.3">
      <c r="B1580" s="53"/>
      <c r="C1580" s="57"/>
      <c r="D1580"/>
      <c r="E1580" s="53"/>
      <c r="F1580"/>
      <c r="G1580"/>
      <c r="H1580"/>
      <c r="I1580"/>
      <c r="J1580"/>
      <c r="K1580"/>
      <c r="L1580"/>
      <c r="M1580"/>
    </row>
    <row r="1581" spans="2:13" s="49" customFormat="1" ht="13.95" customHeight="1" x14ac:dyDescent="0.3">
      <c r="B1581" s="53"/>
      <c r="C1581" s="57"/>
      <c r="D1581"/>
      <c r="E1581" s="53"/>
      <c r="F1581"/>
      <c r="G1581"/>
      <c r="H1581"/>
      <c r="I1581"/>
      <c r="J1581"/>
      <c r="K1581"/>
      <c r="L1581"/>
      <c r="M1581"/>
    </row>
    <row r="1582" spans="2:13" s="49" customFormat="1" ht="13.95" customHeight="1" x14ac:dyDescent="0.3">
      <c r="B1582" s="53"/>
      <c r="C1582" s="57"/>
      <c r="D1582"/>
      <c r="E1582" s="53"/>
      <c r="F1582"/>
      <c r="G1582"/>
      <c r="H1582"/>
      <c r="I1582"/>
      <c r="J1582"/>
      <c r="K1582"/>
      <c r="L1582"/>
      <c r="M1582"/>
    </row>
    <row r="1583" spans="2:13" s="49" customFormat="1" ht="13.95" customHeight="1" x14ac:dyDescent="0.3">
      <c r="B1583" s="53"/>
      <c r="C1583" s="57"/>
      <c r="D1583"/>
      <c r="E1583" s="53"/>
      <c r="F1583"/>
      <c r="G1583"/>
      <c r="H1583"/>
      <c r="I1583"/>
      <c r="J1583"/>
      <c r="K1583"/>
      <c r="L1583"/>
      <c r="M1583"/>
    </row>
    <row r="1584" spans="2:13" s="49" customFormat="1" ht="13.95" customHeight="1" x14ac:dyDescent="0.3">
      <c r="B1584" s="53"/>
      <c r="C1584" s="57"/>
      <c r="D1584"/>
      <c r="E1584" s="53"/>
      <c r="F1584"/>
      <c r="G1584"/>
      <c r="H1584"/>
      <c r="I1584"/>
      <c r="J1584"/>
      <c r="K1584"/>
      <c r="L1584"/>
      <c r="M1584"/>
    </row>
    <row r="1585" spans="2:13" s="49" customFormat="1" ht="13.95" customHeight="1" x14ac:dyDescent="0.3">
      <c r="B1585" s="53"/>
      <c r="C1585" s="57"/>
      <c r="D1585"/>
      <c r="E1585" s="53"/>
      <c r="F1585"/>
      <c r="G1585"/>
      <c r="H1585"/>
      <c r="I1585"/>
      <c r="J1585"/>
      <c r="K1585"/>
      <c r="L1585"/>
      <c r="M1585"/>
    </row>
    <row r="1586" spans="2:13" s="49" customFormat="1" ht="13.95" customHeight="1" x14ac:dyDescent="0.3">
      <c r="B1586" s="53"/>
      <c r="C1586" s="57"/>
      <c r="D1586"/>
      <c r="E1586" s="53"/>
      <c r="F1586"/>
      <c r="G1586"/>
      <c r="H1586"/>
      <c r="I1586"/>
      <c r="J1586"/>
      <c r="K1586"/>
      <c r="L1586"/>
      <c r="M1586"/>
    </row>
    <row r="1587" spans="2:13" s="49" customFormat="1" ht="13.95" customHeight="1" x14ac:dyDescent="0.3">
      <c r="B1587" s="53"/>
      <c r="C1587" s="57"/>
      <c r="D1587"/>
      <c r="E1587" s="53"/>
      <c r="F1587"/>
      <c r="G1587"/>
      <c r="H1587"/>
      <c r="I1587"/>
      <c r="J1587"/>
      <c r="K1587"/>
      <c r="L1587"/>
      <c r="M1587"/>
    </row>
    <row r="1588" spans="2:13" s="49" customFormat="1" ht="13.95" customHeight="1" x14ac:dyDescent="0.3">
      <c r="B1588" s="53"/>
      <c r="C1588" s="57"/>
      <c r="D1588"/>
      <c r="E1588" s="53"/>
      <c r="F1588"/>
      <c r="G1588"/>
      <c r="H1588"/>
      <c r="I1588"/>
      <c r="J1588"/>
      <c r="K1588"/>
      <c r="L1588"/>
      <c r="M1588"/>
    </row>
    <row r="1589" spans="2:13" s="49" customFormat="1" ht="13.95" customHeight="1" x14ac:dyDescent="0.3">
      <c r="B1589" s="53"/>
      <c r="C1589" s="57"/>
      <c r="D1589"/>
      <c r="E1589" s="53"/>
      <c r="F1589"/>
      <c r="G1589"/>
      <c r="H1589"/>
      <c r="I1589"/>
      <c r="J1589"/>
      <c r="K1589"/>
      <c r="L1589"/>
      <c r="M1589"/>
    </row>
    <row r="1590" spans="2:13" s="49" customFormat="1" ht="13.95" customHeight="1" x14ac:dyDescent="0.3">
      <c r="B1590" s="53"/>
      <c r="C1590" s="57"/>
      <c r="D1590"/>
      <c r="E1590" s="53"/>
      <c r="F1590"/>
      <c r="G1590"/>
      <c r="H1590"/>
      <c r="I1590"/>
      <c r="J1590"/>
      <c r="K1590"/>
      <c r="L1590"/>
      <c r="M1590"/>
    </row>
    <row r="1591" spans="2:13" s="49" customFormat="1" ht="13.95" customHeight="1" x14ac:dyDescent="0.3">
      <c r="B1591" s="53"/>
      <c r="C1591" s="57"/>
      <c r="D1591"/>
      <c r="E1591" s="53"/>
      <c r="F1591"/>
      <c r="G1591"/>
      <c r="H1591"/>
      <c r="I1591"/>
      <c r="J1591"/>
      <c r="K1591"/>
      <c r="L1591"/>
      <c r="M1591"/>
    </row>
    <row r="1592" spans="2:13" s="49" customFormat="1" ht="13.95" customHeight="1" x14ac:dyDescent="0.3">
      <c r="B1592" s="53"/>
      <c r="C1592" s="57"/>
      <c r="D1592"/>
      <c r="E1592" s="53"/>
      <c r="F1592"/>
      <c r="G1592"/>
      <c r="H1592"/>
      <c r="I1592"/>
      <c r="J1592"/>
      <c r="K1592"/>
      <c r="L1592"/>
      <c r="M1592"/>
    </row>
    <row r="1593" spans="2:13" s="49" customFormat="1" ht="13.95" customHeight="1" x14ac:dyDescent="0.3">
      <c r="B1593" s="53"/>
      <c r="C1593" s="57"/>
      <c r="D1593"/>
      <c r="E1593" s="53"/>
      <c r="F1593"/>
      <c r="G1593"/>
      <c r="H1593"/>
      <c r="I1593"/>
      <c r="J1593"/>
      <c r="K1593"/>
      <c r="L1593"/>
      <c r="M1593"/>
    </row>
    <row r="1594" spans="2:13" s="49" customFormat="1" ht="13.95" customHeight="1" x14ac:dyDescent="0.3">
      <c r="B1594" s="53"/>
      <c r="C1594" s="57"/>
      <c r="D1594"/>
      <c r="E1594" s="53"/>
      <c r="F1594"/>
      <c r="G1594"/>
      <c r="H1594"/>
      <c r="I1594"/>
      <c r="J1594"/>
      <c r="K1594"/>
      <c r="L1594"/>
      <c r="M1594"/>
    </row>
    <row r="1595" spans="2:13" s="49" customFormat="1" ht="13.95" customHeight="1" x14ac:dyDescent="0.3">
      <c r="B1595" s="53"/>
      <c r="C1595" s="57"/>
      <c r="D1595"/>
      <c r="E1595" s="53"/>
      <c r="F1595"/>
      <c r="G1595"/>
      <c r="H1595"/>
      <c r="I1595"/>
      <c r="J1595"/>
      <c r="K1595"/>
      <c r="L1595"/>
      <c r="M1595"/>
    </row>
    <row r="1596" spans="2:13" s="49" customFormat="1" ht="13.95" customHeight="1" x14ac:dyDescent="0.3">
      <c r="B1596" s="53"/>
      <c r="C1596" s="57"/>
      <c r="D1596"/>
      <c r="E1596" s="53"/>
      <c r="F1596"/>
      <c r="G1596"/>
      <c r="H1596"/>
      <c r="I1596"/>
      <c r="J1596"/>
      <c r="K1596"/>
      <c r="L1596"/>
      <c r="M1596"/>
    </row>
    <row r="1597" spans="2:13" s="49" customFormat="1" ht="13.95" customHeight="1" x14ac:dyDescent="0.3">
      <c r="B1597" s="53"/>
      <c r="C1597" s="57"/>
      <c r="D1597"/>
      <c r="E1597" s="53"/>
      <c r="F1597"/>
      <c r="G1597"/>
      <c r="H1597"/>
      <c r="I1597"/>
      <c r="J1597"/>
      <c r="K1597"/>
      <c r="L1597"/>
      <c r="M1597"/>
    </row>
    <row r="1598" spans="2:13" s="49" customFormat="1" ht="13.95" customHeight="1" x14ac:dyDescent="0.3">
      <c r="B1598" s="53"/>
      <c r="C1598" s="57"/>
      <c r="D1598"/>
      <c r="E1598" s="53"/>
      <c r="F1598"/>
      <c r="G1598"/>
      <c r="H1598"/>
      <c r="I1598"/>
      <c r="J1598"/>
      <c r="K1598"/>
      <c r="L1598"/>
      <c r="M1598"/>
    </row>
    <row r="1599" spans="2:13" s="49" customFormat="1" ht="13.95" customHeight="1" x14ac:dyDescent="0.3">
      <c r="B1599" s="53"/>
      <c r="C1599" s="57"/>
      <c r="D1599"/>
      <c r="E1599" s="53"/>
      <c r="F1599"/>
      <c r="G1599"/>
      <c r="H1599"/>
      <c r="I1599"/>
      <c r="J1599"/>
      <c r="K1599"/>
      <c r="L1599"/>
      <c r="M1599"/>
    </row>
    <row r="1600" spans="2:13" s="49" customFormat="1" ht="13.95" customHeight="1" x14ac:dyDescent="0.3">
      <c r="B1600" s="53"/>
      <c r="C1600" s="57"/>
      <c r="D1600"/>
      <c r="E1600" s="53"/>
      <c r="F1600"/>
      <c r="G1600"/>
      <c r="H1600"/>
      <c r="I1600"/>
      <c r="J1600"/>
      <c r="K1600"/>
      <c r="L1600"/>
      <c r="M1600"/>
    </row>
    <row r="1601" spans="2:13" s="49" customFormat="1" ht="13.95" customHeight="1" x14ac:dyDescent="0.3">
      <c r="B1601" s="53"/>
      <c r="C1601" s="57"/>
      <c r="D1601"/>
      <c r="E1601" s="53"/>
      <c r="F1601"/>
      <c r="G1601"/>
      <c r="H1601"/>
      <c r="I1601"/>
      <c r="J1601"/>
      <c r="K1601"/>
      <c r="L1601"/>
      <c r="M1601"/>
    </row>
    <row r="1602" spans="2:13" s="49" customFormat="1" ht="13.95" customHeight="1" x14ac:dyDescent="0.3">
      <c r="B1602" s="53"/>
      <c r="C1602" s="57"/>
      <c r="D1602"/>
      <c r="E1602" s="53"/>
      <c r="F1602"/>
      <c r="G1602"/>
      <c r="H1602"/>
      <c r="I1602"/>
      <c r="J1602"/>
      <c r="K1602"/>
      <c r="L1602"/>
      <c r="M1602"/>
    </row>
    <row r="1603" spans="2:13" s="49" customFormat="1" ht="13.95" customHeight="1" x14ac:dyDescent="0.3">
      <c r="B1603" s="53"/>
      <c r="C1603" s="57"/>
      <c r="D1603"/>
      <c r="E1603" s="53"/>
      <c r="F1603"/>
      <c r="G1603"/>
      <c r="H1603"/>
      <c r="I1603"/>
      <c r="J1603"/>
      <c r="K1603"/>
      <c r="L1603"/>
      <c r="M1603"/>
    </row>
    <row r="1604" spans="2:13" s="49" customFormat="1" ht="13.95" customHeight="1" x14ac:dyDescent="0.3">
      <c r="B1604" s="53"/>
      <c r="C1604" s="57"/>
      <c r="D1604"/>
      <c r="E1604" s="53"/>
      <c r="F1604"/>
      <c r="G1604"/>
      <c r="H1604"/>
      <c r="I1604"/>
      <c r="J1604"/>
      <c r="K1604"/>
      <c r="L1604"/>
      <c r="M1604"/>
    </row>
    <row r="1605" spans="2:13" s="49" customFormat="1" ht="13.95" customHeight="1" x14ac:dyDescent="0.3">
      <c r="B1605" s="53"/>
      <c r="C1605" s="57"/>
      <c r="D1605"/>
      <c r="E1605" s="53"/>
      <c r="F1605"/>
      <c r="G1605"/>
      <c r="H1605"/>
      <c r="I1605"/>
      <c r="J1605"/>
      <c r="K1605"/>
      <c r="L1605"/>
      <c r="M1605"/>
    </row>
    <row r="1606" spans="2:13" s="49" customFormat="1" ht="13.95" customHeight="1" x14ac:dyDescent="0.3">
      <c r="B1606" s="53"/>
      <c r="C1606" s="57"/>
      <c r="D1606"/>
      <c r="E1606" s="53"/>
      <c r="F1606"/>
      <c r="G1606"/>
      <c r="H1606"/>
      <c r="I1606"/>
      <c r="J1606"/>
      <c r="K1606"/>
      <c r="L1606"/>
      <c r="M1606"/>
    </row>
    <row r="1607" spans="2:13" s="49" customFormat="1" ht="13.95" customHeight="1" x14ac:dyDescent="0.3">
      <c r="B1607" s="53"/>
      <c r="C1607" s="57"/>
      <c r="D1607"/>
      <c r="E1607" s="53"/>
      <c r="F1607"/>
      <c r="G1607"/>
      <c r="H1607"/>
      <c r="I1607"/>
      <c r="J1607"/>
      <c r="K1607"/>
      <c r="L1607"/>
      <c r="M1607"/>
    </row>
    <row r="1608" spans="2:13" s="49" customFormat="1" ht="13.95" customHeight="1" x14ac:dyDescent="0.3">
      <c r="B1608" s="53"/>
      <c r="C1608" s="57"/>
      <c r="D1608"/>
      <c r="E1608" s="53"/>
      <c r="F1608"/>
      <c r="G1608"/>
      <c r="H1608"/>
      <c r="I1608"/>
      <c r="J1608"/>
      <c r="K1608"/>
      <c r="L1608"/>
      <c r="M1608"/>
    </row>
    <row r="1609" spans="2:13" s="49" customFormat="1" ht="13.95" customHeight="1" x14ac:dyDescent="0.3">
      <c r="B1609" s="53"/>
      <c r="C1609" s="57"/>
      <c r="D1609"/>
      <c r="E1609" s="53"/>
      <c r="F1609"/>
      <c r="G1609"/>
      <c r="H1609"/>
      <c r="I1609"/>
      <c r="J1609"/>
      <c r="K1609"/>
      <c r="L1609"/>
      <c r="M1609"/>
    </row>
    <row r="1610" spans="2:13" s="49" customFormat="1" ht="13.95" customHeight="1" x14ac:dyDescent="0.3">
      <c r="B1610" s="53"/>
      <c r="C1610" s="57"/>
      <c r="D1610"/>
      <c r="E1610" s="53"/>
      <c r="F1610"/>
      <c r="G1610"/>
      <c r="H1610"/>
      <c r="I1610"/>
      <c r="J1610"/>
      <c r="K1610"/>
      <c r="L1610"/>
      <c r="M1610"/>
    </row>
    <row r="1611" spans="2:13" s="49" customFormat="1" ht="13.95" customHeight="1" x14ac:dyDescent="0.3">
      <c r="B1611" s="53"/>
      <c r="C1611" s="57"/>
      <c r="D1611"/>
      <c r="E1611" s="53"/>
      <c r="F1611"/>
      <c r="G1611"/>
      <c r="H1611"/>
      <c r="I1611"/>
      <c r="J1611"/>
      <c r="K1611"/>
      <c r="L1611"/>
      <c r="M1611"/>
    </row>
    <row r="1612" spans="2:13" s="49" customFormat="1" ht="13.95" customHeight="1" x14ac:dyDescent="0.3">
      <c r="B1612" s="53"/>
      <c r="C1612" s="57"/>
      <c r="D1612"/>
      <c r="E1612" s="53"/>
      <c r="F1612"/>
      <c r="G1612"/>
      <c r="H1612"/>
      <c r="I1612"/>
      <c r="J1612"/>
      <c r="K1612"/>
      <c r="L1612"/>
      <c r="M1612"/>
    </row>
    <row r="1613" spans="2:13" s="49" customFormat="1" ht="13.95" customHeight="1" x14ac:dyDescent="0.3">
      <c r="B1613" s="53"/>
      <c r="C1613" s="57"/>
      <c r="D1613"/>
      <c r="E1613" s="53"/>
      <c r="F1613"/>
      <c r="G1613"/>
      <c r="H1613"/>
      <c r="I1613"/>
      <c r="J1613"/>
      <c r="K1613"/>
      <c r="L1613"/>
      <c r="M1613"/>
    </row>
    <row r="1614" spans="2:13" s="49" customFormat="1" ht="13.95" customHeight="1" x14ac:dyDescent="0.3">
      <c r="B1614" s="53"/>
      <c r="C1614" s="57"/>
      <c r="D1614"/>
      <c r="E1614" s="53"/>
      <c r="F1614"/>
      <c r="G1614"/>
      <c r="H1614"/>
      <c r="I1614"/>
      <c r="J1614"/>
      <c r="K1614"/>
      <c r="L1614"/>
      <c r="M1614"/>
    </row>
    <row r="1615" spans="2:13" s="49" customFormat="1" ht="13.95" customHeight="1" x14ac:dyDescent="0.3">
      <c r="B1615" s="53"/>
      <c r="C1615" s="57"/>
      <c r="D1615"/>
      <c r="E1615" s="53"/>
      <c r="F1615"/>
      <c r="G1615"/>
      <c r="H1615"/>
      <c r="I1615"/>
      <c r="J1615"/>
      <c r="K1615"/>
      <c r="L1615"/>
      <c r="M1615"/>
    </row>
    <row r="1616" spans="2:13" s="49" customFormat="1" ht="13.95" customHeight="1" x14ac:dyDescent="0.3">
      <c r="B1616" s="53"/>
      <c r="C1616" s="57"/>
      <c r="D1616"/>
      <c r="E1616" s="53"/>
      <c r="F1616"/>
      <c r="G1616"/>
      <c r="H1616"/>
      <c r="I1616"/>
      <c r="J1616"/>
      <c r="K1616"/>
      <c r="L1616"/>
      <c r="M1616"/>
    </row>
    <row r="1617" spans="2:13" s="49" customFormat="1" ht="13.95" customHeight="1" x14ac:dyDescent="0.3">
      <c r="B1617" s="53"/>
      <c r="C1617" s="57"/>
      <c r="D1617"/>
      <c r="E1617" s="53"/>
      <c r="F1617"/>
      <c r="G1617"/>
      <c r="H1617"/>
      <c r="I1617"/>
      <c r="J1617"/>
      <c r="K1617"/>
      <c r="L1617"/>
      <c r="M1617"/>
    </row>
    <row r="1618" spans="2:13" s="49" customFormat="1" ht="13.95" customHeight="1" x14ac:dyDescent="0.3">
      <c r="B1618" s="53"/>
      <c r="C1618" s="57"/>
      <c r="D1618"/>
      <c r="E1618" s="53"/>
      <c r="F1618"/>
      <c r="G1618"/>
      <c r="H1618"/>
      <c r="I1618"/>
      <c r="J1618"/>
      <c r="K1618"/>
      <c r="L1618"/>
      <c r="M1618"/>
    </row>
    <row r="1619" spans="2:13" s="49" customFormat="1" ht="13.95" customHeight="1" x14ac:dyDescent="0.3">
      <c r="B1619" s="53"/>
      <c r="C1619" s="57"/>
      <c r="D1619"/>
      <c r="E1619" s="53"/>
      <c r="F1619"/>
      <c r="G1619"/>
      <c r="H1619"/>
      <c r="I1619"/>
      <c r="J1619"/>
      <c r="K1619"/>
      <c r="L1619"/>
      <c r="M1619"/>
    </row>
    <row r="1620" spans="2:13" s="49" customFormat="1" ht="13.95" customHeight="1" x14ac:dyDescent="0.3">
      <c r="B1620" s="53"/>
      <c r="C1620" s="57"/>
      <c r="D1620"/>
      <c r="E1620" s="53"/>
      <c r="F1620"/>
      <c r="G1620"/>
      <c r="H1620"/>
      <c r="I1620"/>
      <c r="J1620"/>
      <c r="K1620"/>
      <c r="L1620"/>
      <c r="M1620"/>
    </row>
    <row r="1621" spans="2:13" s="49" customFormat="1" ht="13.95" customHeight="1" x14ac:dyDescent="0.3">
      <c r="B1621" s="53"/>
      <c r="C1621" s="57"/>
      <c r="D1621"/>
      <c r="E1621" s="53"/>
      <c r="F1621"/>
      <c r="G1621"/>
      <c r="H1621"/>
      <c r="I1621"/>
      <c r="J1621"/>
      <c r="K1621"/>
      <c r="L1621"/>
      <c r="M1621"/>
    </row>
    <row r="1622" spans="2:13" s="49" customFormat="1" ht="13.95" customHeight="1" x14ac:dyDescent="0.3">
      <c r="B1622" s="53"/>
      <c r="C1622" s="57"/>
      <c r="D1622"/>
      <c r="E1622" s="53"/>
      <c r="F1622"/>
      <c r="G1622"/>
      <c r="H1622"/>
      <c r="I1622"/>
      <c r="J1622"/>
      <c r="K1622"/>
      <c r="L1622"/>
      <c r="M1622"/>
    </row>
    <row r="1623" spans="2:13" s="49" customFormat="1" ht="13.95" customHeight="1" x14ac:dyDescent="0.3">
      <c r="B1623" s="53"/>
      <c r="C1623" s="57"/>
      <c r="D1623"/>
      <c r="E1623" s="53"/>
      <c r="F1623"/>
      <c r="G1623"/>
      <c r="H1623"/>
      <c r="I1623"/>
      <c r="J1623"/>
      <c r="K1623"/>
      <c r="L1623"/>
      <c r="M1623"/>
    </row>
    <row r="1624" spans="2:13" s="49" customFormat="1" ht="13.95" customHeight="1" x14ac:dyDescent="0.3">
      <c r="B1624" s="53"/>
      <c r="C1624" s="57"/>
      <c r="D1624"/>
      <c r="E1624" s="53"/>
      <c r="F1624"/>
      <c r="G1624"/>
      <c r="H1624"/>
      <c r="I1624"/>
      <c r="J1624"/>
      <c r="K1624"/>
      <c r="L1624"/>
      <c r="M1624"/>
    </row>
    <row r="1625" spans="2:13" s="49" customFormat="1" ht="13.95" customHeight="1" x14ac:dyDescent="0.3">
      <c r="B1625" s="53"/>
      <c r="C1625" s="57"/>
      <c r="D1625"/>
      <c r="E1625" s="53"/>
      <c r="F1625"/>
      <c r="G1625"/>
      <c r="H1625"/>
      <c r="I1625"/>
      <c r="J1625"/>
      <c r="K1625"/>
      <c r="L1625"/>
      <c r="M1625"/>
    </row>
    <row r="1626" spans="2:13" s="49" customFormat="1" ht="13.95" customHeight="1" x14ac:dyDescent="0.3">
      <c r="B1626" s="53"/>
      <c r="C1626" s="57"/>
      <c r="D1626"/>
      <c r="E1626" s="53"/>
      <c r="F1626"/>
      <c r="G1626"/>
      <c r="H1626"/>
      <c r="I1626"/>
      <c r="J1626"/>
      <c r="K1626"/>
      <c r="L1626"/>
      <c r="M1626"/>
    </row>
    <row r="1627" spans="2:13" s="49" customFormat="1" ht="13.95" customHeight="1" x14ac:dyDescent="0.3">
      <c r="B1627" s="53"/>
      <c r="C1627" s="57"/>
      <c r="D1627"/>
      <c r="E1627" s="53"/>
      <c r="F1627"/>
      <c r="G1627"/>
      <c r="H1627"/>
      <c r="I1627"/>
      <c r="J1627"/>
      <c r="K1627"/>
      <c r="L1627"/>
      <c r="M1627"/>
    </row>
    <row r="1628" spans="2:13" s="49" customFormat="1" ht="13.95" customHeight="1" x14ac:dyDescent="0.3">
      <c r="B1628" s="53"/>
      <c r="C1628" s="57"/>
      <c r="D1628"/>
      <c r="E1628" s="53"/>
      <c r="F1628"/>
      <c r="G1628"/>
      <c r="H1628"/>
      <c r="I1628"/>
      <c r="J1628"/>
      <c r="K1628"/>
      <c r="L1628"/>
      <c r="M1628"/>
    </row>
    <row r="1629" spans="2:13" s="49" customFormat="1" ht="13.95" customHeight="1" x14ac:dyDescent="0.3">
      <c r="B1629" s="53"/>
      <c r="C1629" s="57"/>
      <c r="D1629"/>
      <c r="E1629" s="53"/>
      <c r="F1629"/>
      <c r="G1629"/>
      <c r="H1629"/>
      <c r="I1629"/>
      <c r="J1629"/>
      <c r="K1629"/>
      <c r="L1629"/>
      <c r="M1629"/>
    </row>
    <row r="1630" spans="2:13" s="49" customFormat="1" ht="13.95" customHeight="1" x14ac:dyDescent="0.3">
      <c r="B1630" s="53"/>
      <c r="C1630" s="57"/>
      <c r="D1630"/>
      <c r="E1630" s="53"/>
      <c r="F1630"/>
      <c r="G1630"/>
      <c r="H1630"/>
      <c r="I1630"/>
      <c r="J1630"/>
      <c r="K1630"/>
      <c r="L1630"/>
      <c r="M1630"/>
    </row>
    <row r="1631" spans="2:13" s="49" customFormat="1" ht="13.95" customHeight="1" x14ac:dyDescent="0.3">
      <c r="B1631" s="53"/>
      <c r="C1631" s="57"/>
      <c r="D1631"/>
      <c r="E1631" s="53"/>
      <c r="F1631"/>
      <c r="G1631"/>
      <c r="H1631"/>
      <c r="I1631"/>
      <c r="J1631"/>
      <c r="K1631"/>
      <c r="L1631"/>
      <c r="M1631"/>
    </row>
    <row r="1632" spans="2:13" s="49" customFormat="1" ht="13.95" customHeight="1" x14ac:dyDescent="0.3">
      <c r="B1632" s="53"/>
      <c r="C1632" s="57"/>
      <c r="D1632"/>
      <c r="E1632" s="53"/>
      <c r="F1632"/>
      <c r="G1632"/>
      <c r="H1632"/>
      <c r="I1632"/>
      <c r="J1632"/>
      <c r="K1632"/>
      <c r="L1632"/>
      <c r="M1632"/>
    </row>
    <row r="1633" spans="2:13" s="49" customFormat="1" ht="13.95" customHeight="1" x14ac:dyDescent="0.3">
      <c r="B1633" s="53"/>
      <c r="C1633" s="57"/>
      <c r="D1633"/>
      <c r="E1633" s="53"/>
      <c r="F1633"/>
      <c r="G1633"/>
      <c r="H1633"/>
      <c r="I1633"/>
      <c r="J1633"/>
      <c r="K1633"/>
      <c r="L1633"/>
      <c r="M1633"/>
    </row>
    <row r="1634" spans="2:13" s="49" customFormat="1" ht="13.95" customHeight="1" x14ac:dyDescent="0.3">
      <c r="B1634" s="53"/>
      <c r="C1634" s="57"/>
      <c r="D1634"/>
      <c r="E1634" s="53"/>
      <c r="F1634"/>
      <c r="G1634"/>
      <c r="H1634"/>
      <c r="I1634"/>
      <c r="J1634"/>
      <c r="K1634"/>
      <c r="L1634"/>
      <c r="M1634"/>
    </row>
    <row r="1635" spans="2:13" s="49" customFormat="1" ht="13.95" customHeight="1" x14ac:dyDescent="0.3">
      <c r="B1635" s="53"/>
      <c r="C1635" s="57"/>
      <c r="D1635"/>
      <c r="E1635" s="53"/>
      <c r="F1635"/>
      <c r="G1635"/>
      <c r="H1635"/>
      <c r="I1635"/>
      <c r="J1635"/>
      <c r="K1635"/>
      <c r="L1635"/>
      <c r="M1635"/>
    </row>
    <row r="1636" spans="2:13" s="49" customFormat="1" ht="13.95" customHeight="1" x14ac:dyDescent="0.3">
      <c r="B1636" s="53"/>
      <c r="C1636" s="57"/>
      <c r="D1636"/>
      <c r="E1636" s="53"/>
      <c r="F1636"/>
      <c r="G1636"/>
      <c r="H1636"/>
      <c r="I1636"/>
      <c r="J1636"/>
      <c r="K1636"/>
      <c r="L1636"/>
      <c r="M1636"/>
    </row>
    <row r="1637" spans="2:13" s="49" customFormat="1" ht="13.95" customHeight="1" x14ac:dyDescent="0.3">
      <c r="B1637" s="53"/>
      <c r="C1637" s="57"/>
      <c r="D1637"/>
      <c r="E1637" s="53"/>
      <c r="F1637"/>
      <c r="G1637"/>
      <c r="H1637"/>
      <c r="I1637"/>
      <c r="J1637"/>
      <c r="K1637"/>
      <c r="L1637"/>
      <c r="M1637"/>
    </row>
    <row r="1638" spans="2:13" s="49" customFormat="1" ht="13.95" customHeight="1" x14ac:dyDescent="0.3">
      <c r="B1638" s="53"/>
      <c r="C1638" s="57"/>
      <c r="D1638"/>
      <c r="E1638" s="53"/>
      <c r="F1638"/>
      <c r="G1638"/>
      <c r="H1638"/>
      <c r="I1638"/>
      <c r="J1638"/>
      <c r="K1638"/>
      <c r="L1638"/>
      <c r="M1638"/>
    </row>
    <row r="1639" spans="2:13" s="49" customFormat="1" ht="13.95" customHeight="1" x14ac:dyDescent="0.3">
      <c r="B1639" s="53"/>
      <c r="C1639" s="57"/>
      <c r="D1639"/>
      <c r="E1639" s="53"/>
      <c r="F1639"/>
      <c r="G1639"/>
      <c r="H1639"/>
      <c r="I1639"/>
      <c r="J1639"/>
      <c r="K1639"/>
      <c r="L1639"/>
      <c r="M1639"/>
    </row>
    <row r="1640" spans="2:13" s="49" customFormat="1" ht="13.95" customHeight="1" x14ac:dyDescent="0.3">
      <c r="B1640" s="53"/>
      <c r="C1640" s="57"/>
      <c r="D1640"/>
      <c r="E1640" s="53"/>
      <c r="F1640"/>
      <c r="G1640"/>
      <c r="H1640"/>
      <c r="I1640"/>
      <c r="J1640"/>
      <c r="K1640"/>
      <c r="L1640"/>
      <c r="M1640"/>
    </row>
    <row r="1641" spans="2:13" s="49" customFormat="1" ht="13.95" customHeight="1" x14ac:dyDescent="0.3">
      <c r="B1641" s="53"/>
      <c r="C1641" s="57"/>
      <c r="D1641"/>
      <c r="E1641" s="53"/>
      <c r="F1641"/>
      <c r="G1641"/>
      <c r="H1641"/>
      <c r="I1641"/>
      <c r="J1641"/>
      <c r="K1641"/>
      <c r="L1641"/>
      <c r="M1641"/>
    </row>
    <row r="1642" spans="2:13" s="49" customFormat="1" ht="13.95" customHeight="1" x14ac:dyDescent="0.3">
      <c r="B1642" s="53"/>
      <c r="C1642" s="57"/>
      <c r="D1642"/>
      <c r="E1642" s="53"/>
      <c r="F1642"/>
      <c r="G1642"/>
      <c r="H1642"/>
      <c r="I1642"/>
      <c r="J1642"/>
      <c r="K1642"/>
      <c r="L1642"/>
      <c r="M1642"/>
    </row>
    <row r="1643" spans="2:13" s="49" customFormat="1" ht="13.95" customHeight="1" x14ac:dyDescent="0.3">
      <c r="B1643" s="53"/>
      <c r="C1643" s="57"/>
      <c r="D1643"/>
      <c r="E1643" s="53"/>
      <c r="F1643"/>
      <c r="G1643"/>
      <c r="H1643"/>
      <c r="I1643"/>
      <c r="J1643"/>
      <c r="K1643"/>
      <c r="L1643"/>
      <c r="M1643"/>
    </row>
    <row r="1644" spans="2:13" s="49" customFormat="1" ht="13.95" customHeight="1" x14ac:dyDescent="0.3">
      <c r="B1644" s="53"/>
      <c r="C1644" s="57"/>
      <c r="D1644"/>
      <c r="E1644" s="53"/>
      <c r="F1644"/>
      <c r="G1644"/>
      <c r="H1644"/>
      <c r="I1644"/>
      <c r="J1644"/>
      <c r="K1644"/>
      <c r="L1644"/>
      <c r="M1644"/>
    </row>
    <row r="1645" spans="2:13" s="49" customFormat="1" ht="13.95" customHeight="1" x14ac:dyDescent="0.3">
      <c r="B1645" s="53"/>
      <c r="C1645" s="57"/>
      <c r="D1645"/>
      <c r="E1645" s="53"/>
      <c r="F1645"/>
      <c r="G1645"/>
      <c r="H1645"/>
      <c r="I1645"/>
      <c r="J1645"/>
      <c r="K1645"/>
      <c r="L1645"/>
      <c r="M1645"/>
    </row>
    <row r="1646" spans="2:13" s="49" customFormat="1" ht="13.95" customHeight="1" x14ac:dyDescent="0.3">
      <c r="B1646" s="53"/>
      <c r="C1646" s="57"/>
      <c r="D1646"/>
      <c r="E1646" s="53"/>
      <c r="F1646"/>
      <c r="G1646"/>
      <c r="H1646"/>
      <c r="I1646"/>
      <c r="J1646"/>
      <c r="K1646"/>
      <c r="L1646"/>
      <c r="M1646"/>
    </row>
    <row r="1647" spans="2:13" s="49" customFormat="1" ht="13.95" customHeight="1" x14ac:dyDescent="0.3">
      <c r="B1647" s="53"/>
      <c r="C1647" s="57"/>
      <c r="D1647"/>
      <c r="E1647" s="53"/>
      <c r="F1647"/>
      <c r="G1647"/>
      <c r="H1647"/>
      <c r="I1647"/>
      <c r="J1647"/>
      <c r="K1647"/>
      <c r="L1647"/>
      <c r="M1647"/>
    </row>
    <row r="1648" spans="2:13" s="49" customFormat="1" ht="13.95" customHeight="1" x14ac:dyDescent="0.3">
      <c r="B1648" s="53"/>
      <c r="C1648" s="57"/>
      <c r="D1648"/>
      <c r="E1648" s="53"/>
      <c r="F1648"/>
      <c r="G1648"/>
      <c r="H1648"/>
      <c r="I1648"/>
      <c r="J1648"/>
      <c r="K1648"/>
      <c r="L1648"/>
      <c r="M1648"/>
    </row>
    <row r="1649" spans="2:13" s="49" customFormat="1" ht="13.95" customHeight="1" x14ac:dyDescent="0.3">
      <c r="B1649" s="53"/>
      <c r="C1649" s="57"/>
      <c r="D1649"/>
      <c r="E1649" s="53"/>
      <c r="F1649"/>
      <c r="G1649"/>
      <c r="H1649"/>
      <c r="I1649"/>
      <c r="J1649"/>
      <c r="K1649"/>
      <c r="L1649"/>
      <c r="M1649"/>
    </row>
    <row r="1650" spans="2:13" s="49" customFormat="1" ht="13.95" customHeight="1" x14ac:dyDescent="0.3">
      <c r="B1650" s="53"/>
      <c r="C1650" s="57"/>
      <c r="D1650"/>
      <c r="E1650" s="53"/>
      <c r="F1650"/>
      <c r="G1650"/>
      <c r="H1650"/>
      <c r="I1650"/>
      <c r="J1650"/>
      <c r="K1650"/>
      <c r="L1650"/>
      <c r="M1650"/>
    </row>
    <row r="1651" spans="2:13" s="49" customFormat="1" ht="13.95" customHeight="1" x14ac:dyDescent="0.3">
      <c r="B1651" s="53"/>
      <c r="C1651" s="57"/>
      <c r="D1651"/>
      <c r="E1651" s="53"/>
      <c r="F1651"/>
      <c r="G1651"/>
      <c r="H1651"/>
      <c r="I1651"/>
      <c r="J1651"/>
      <c r="K1651"/>
      <c r="L1651"/>
      <c r="M1651"/>
    </row>
    <row r="1652" spans="2:13" s="49" customFormat="1" ht="13.95" customHeight="1" x14ac:dyDescent="0.3">
      <c r="B1652" s="53"/>
      <c r="C1652" s="57"/>
      <c r="D1652"/>
      <c r="E1652" s="53"/>
      <c r="F1652"/>
      <c r="G1652"/>
      <c r="H1652"/>
      <c r="I1652"/>
      <c r="J1652"/>
      <c r="K1652"/>
      <c r="L1652"/>
      <c r="M1652"/>
    </row>
    <row r="1653" spans="2:13" s="49" customFormat="1" ht="13.95" customHeight="1" x14ac:dyDescent="0.3">
      <c r="B1653" s="53"/>
      <c r="C1653" s="57"/>
      <c r="D1653"/>
      <c r="E1653" s="53"/>
      <c r="F1653"/>
      <c r="G1653"/>
      <c r="H1653"/>
      <c r="I1653"/>
      <c r="J1653"/>
      <c r="K1653"/>
      <c r="L1653"/>
      <c r="M1653"/>
    </row>
    <row r="1654" spans="2:13" s="49" customFormat="1" ht="13.95" customHeight="1" x14ac:dyDescent="0.3">
      <c r="B1654" s="53"/>
      <c r="C1654" s="57"/>
      <c r="D1654"/>
      <c r="E1654" s="53"/>
      <c r="F1654"/>
      <c r="G1654"/>
      <c r="H1654"/>
      <c r="I1654"/>
      <c r="J1654"/>
      <c r="K1654"/>
      <c r="L1654"/>
      <c r="M1654"/>
    </row>
    <row r="1655" spans="2:13" s="49" customFormat="1" ht="13.95" customHeight="1" x14ac:dyDescent="0.3">
      <c r="B1655" s="53"/>
      <c r="C1655" s="57"/>
      <c r="D1655"/>
      <c r="E1655" s="53"/>
      <c r="F1655"/>
      <c r="G1655"/>
      <c r="H1655"/>
      <c r="I1655"/>
      <c r="J1655"/>
      <c r="K1655"/>
      <c r="L1655"/>
      <c r="M1655"/>
    </row>
    <row r="1656" spans="2:13" s="49" customFormat="1" ht="13.95" customHeight="1" x14ac:dyDescent="0.3">
      <c r="B1656" s="53"/>
      <c r="C1656" s="57"/>
      <c r="D1656"/>
      <c r="E1656" s="53"/>
      <c r="F1656"/>
      <c r="G1656"/>
      <c r="H1656"/>
      <c r="I1656"/>
      <c r="J1656"/>
      <c r="K1656"/>
      <c r="L1656"/>
      <c r="M1656"/>
    </row>
    <row r="1657" spans="2:13" s="49" customFormat="1" ht="13.95" customHeight="1" x14ac:dyDescent="0.3">
      <c r="B1657" s="53"/>
      <c r="C1657" s="57"/>
      <c r="D1657"/>
      <c r="E1657" s="53"/>
      <c r="F1657"/>
      <c r="G1657"/>
      <c r="H1657"/>
      <c r="I1657"/>
      <c r="J1657"/>
      <c r="K1657"/>
      <c r="L1657"/>
      <c r="M1657"/>
    </row>
    <row r="1658" spans="2:13" s="49" customFormat="1" ht="13.95" customHeight="1" x14ac:dyDescent="0.3">
      <c r="B1658" s="53"/>
      <c r="C1658" s="57"/>
      <c r="D1658"/>
      <c r="E1658" s="53"/>
      <c r="F1658"/>
      <c r="G1658"/>
      <c r="H1658"/>
      <c r="I1658"/>
      <c r="J1658"/>
      <c r="K1658"/>
      <c r="L1658"/>
      <c r="M1658"/>
    </row>
    <row r="1659" spans="2:13" s="49" customFormat="1" ht="13.95" customHeight="1" x14ac:dyDescent="0.3">
      <c r="B1659" s="53"/>
      <c r="C1659" s="57"/>
      <c r="D1659"/>
      <c r="E1659" s="53"/>
      <c r="F1659"/>
      <c r="G1659"/>
      <c r="H1659"/>
      <c r="I1659"/>
      <c r="J1659"/>
      <c r="K1659"/>
      <c r="L1659"/>
      <c r="M1659"/>
    </row>
    <row r="1660" spans="2:13" s="49" customFormat="1" ht="13.95" customHeight="1" x14ac:dyDescent="0.3">
      <c r="B1660" s="53"/>
      <c r="C1660" s="57"/>
      <c r="D1660"/>
      <c r="E1660" s="53"/>
      <c r="F1660"/>
      <c r="G1660"/>
      <c r="H1660"/>
      <c r="I1660"/>
      <c r="J1660"/>
      <c r="K1660"/>
      <c r="L1660"/>
      <c r="M1660"/>
    </row>
    <row r="1661" spans="2:13" s="49" customFormat="1" ht="13.95" customHeight="1" x14ac:dyDescent="0.3">
      <c r="B1661" s="53"/>
      <c r="C1661" s="57"/>
      <c r="D1661"/>
      <c r="E1661" s="53"/>
      <c r="F1661"/>
      <c r="G1661"/>
      <c r="H1661"/>
      <c r="I1661"/>
      <c r="J1661"/>
      <c r="K1661"/>
      <c r="L1661"/>
      <c r="M1661"/>
    </row>
    <row r="1662" spans="2:13" s="49" customFormat="1" ht="13.95" customHeight="1" x14ac:dyDescent="0.3">
      <c r="B1662" s="53"/>
      <c r="C1662" s="57"/>
      <c r="D1662"/>
      <c r="E1662" s="53"/>
      <c r="F1662"/>
      <c r="G1662"/>
      <c r="H1662"/>
      <c r="I1662"/>
      <c r="J1662"/>
      <c r="K1662"/>
      <c r="L1662"/>
      <c r="M1662"/>
    </row>
    <row r="1663" spans="2:13" s="49" customFormat="1" ht="13.95" customHeight="1" x14ac:dyDescent="0.3">
      <c r="B1663" s="53"/>
      <c r="C1663" s="57"/>
      <c r="D1663"/>
      <c r="E1663" s="53"/>
      <c r="F1663"/>
      <c r="G1663"/>
      <c r="H1663"/>
      <c r="I1663"/>
      <c r="J1663"/>
      <c r="K1663"/>
      <c r="L1663"/>
      <c r="M1663"/>
    </row>
    <row r="1664" spans="2:13" s="49" customFormat="1" ht="13.95" customHeight="1" x14ac:dyDescent="0.3">
      <c r="B1664" s="53"/>
      <c r="C1664" s="57"/>
      <c r="D1664"/>
      <c r="E1664" s="53"/>
      <c r="F1664"/>
      <c r="G1664"/>
      <c r="H1664"/>
      <c r="I1664"/>
      <c r="J1664"/>
      <c r="K1664"/>
      <c r="L1664"/>
      <c r="M1664"/>
    </row>
    <row r="1665" spans="2:13" s="49" customFormat="1" ht="13.95" customHeight="1" x14ac:dyDescent="0.3">
      <c r="B1665" s="53"/>
      <c r="C1665" s="57"/>
      <c r="D1665"/>
      <c r="E1665" s="53"/>
      <c r="F1665"/>
      <c r="G1665"/>
      <c r="H1665"/>
      <c r="I1665"/>
      <c r="J1665"/>
      <c r="K1665"/>
      <c r="L1665"/>
      <c r="M1665"/>
    </row>
    <row r="1666" spans="2:13" s="49" customFormat="1" ht="13.95" customHeight="1" x14ac:dyDescent="0.3">
      <c r="B1666" s="53"/>
      <c r="C1666" s="57"/>
      <c r="D1666"/>
      <c r="E1666" s="53"/>
      <c r="F1666"/>
      <c r="G1666"/>
      <c r="H1666"/>
      <c r="I1666"/>
      <c r="J1666"/>
      <c r="K1666"/>
      <c r="L1666"/>
      <c r="M1666"/>
    </row>
    <row r="1667" spans="2:13" s="49" customFormat="1" ht="13.95" customHeight="1" x14ac:dyDescent="0.3">
      <c r="B1667" s="53"/>
      <c r="C1667" s="57"/>
      <c r="D1667"/>
      <c r="E1667" s="53"/>
      <c r="F1667"/>
      <c r="G1667"/>
      <c r="H1667"/>
      <c r="I1667"/>
      <c r="J1667"/>
      <c r="K1667"/>
      <c r="L1667"/>
      <c r="M1667"/>
    </row>
    <row r="1668" spans="2:13" s="49" customFormat="1" ht="13.95" customHeight="1" x14ac:dyDescent="0.3">
      <c r="B1668" s="53"/>
      <c r="C1668" s="57"/>
      <c r="D1668"/>
      <c r="E1668" s="53"/>
      <c r="F1668"/>
      <c r="G1668"/>
      <c r="H1668"/>
      <c r="I1668"/>
      <c r="J1668"/>
      <c r="K1668"/>
      <c r="L1668"/>
      <c r="M1668"/>
    </row>
    <row r="1669" spans="2:13" s="49" customFormat="1" ht="13.95" customHeight="1" x14ac:dyDescent="0.3">
      <c r="B1669" s="53"/>
      <c r="C1669" s="57"/>
      <c r="D1669"/>
      <c r="E1669" s="53"/>
      <c r="F1669"/>
      <c r="G1669"/>
      <c r="H1669"/>
      <c r="I1669"/>
      <c r="J1669"/>
      <c r="K1669"/>
      <c r="L1669"/>
      <c r="M1669"/>
    </row>
    <row r="1670" spans="2:13" s="49" customFormat="1" ht="13.95" customHeight="1" x14ac:dyDescent="0.3">
      <c r="B1670" s="53"/>
      <c r="C1670" s="57"/>
      <c r="D1670"/>
      <c r="E1670" s="53"/>
      <c r="F1670"/>
      <c r="G1670"/>
      <c r="H1670"/>
      <c r="I1670"/>
      <c r="J1670"/>
      <c r="K1670"/>
      <c r="L1670"/>
      <c r="M1670"/>
    </row>
    <row r="1671" spans="2:13" s="49" customFormat="1" ht="13.95" customHeight="1" x14ac:dyDescent="0.3">
      <c r="B1671" s="53"/>
      <c r="C1671" s="57"/>
      <c r="D1671"/>
      <c r="E1671" s="53"/>
      <c r="F1671"/>
      <c r="G1671"/>
      <c r="H1671"/>
      <c r="I1671"/>
      <c r="J1671"/>
      <c r="K1671"/>
      <c r="L1671"/>
      <c r="M1671"/>
    </row>
    <row r="1672" spans="2:13" s="49" customFormat="1" ht="13.95" customHeight="1" x14ac:dyDescent="0.3">
      <c r="B1672" s="53"/>
      <c r="C1672" s="57"/>
      <c r="D1672"/>
      <c r="E1672" s="53"/>
      <c r="F1672"/>
      <c r="G1672"/>
      <c r="H1672"/>
      <c r="I1672"/>
      <c r="J1672"/>
      <c r="K1672"/>
      <c r="L1672"/>
      <c r="M1672"/>
    </row>
    <row r="1673" spans="2:13" s="49" customFormat="1" ht="13.95" customHeight="1" x14ac:dyDescent="0.3">
      <c r="B1673" s="53"/>
      <c r="C1673" s="57"/>
      <c r="D1673"/>
      <c r="E1673" s="53"/>
      <c r="F1673"/>
      <c r="G1673"/>
      <c r="H1673"/>
      <c r="I1673"/>
      <c r="J1673"/>
      <c r="K1673"/>
      <c r="L1673"/>
      <c r="M1673"/>
    </row>
    <row r="1674" spans="2:13" s="49" customFormat="1" ht="13.95" customHeight="1" x14ac:dyDescent="0.3">
      <c r="B1674" s="53"/>
      <c r="C1674" s="57"/>
      <c r="D1674"/>
      <c r="E1674" s="53"/>
      <c r="F1674"/>
      <c r="G1674"/>
      <c r="H1674"/>
      <c r="I1674"/>
      <c r="J1674"/>
      <c r="K1674"/>
      <c r="L1674"/>
      <c r="M1674"/>
    </row>
    <row r="1675" spans="2:13" s="49" customFormat="1" ht="13.95" customHeight="1" x14ac:dyDescent="0.3">
      <c r="B1675" s="53"/>
      <c r="C1675" s="57"/>
      <c r="D1675"/>
      <c r="E1675" s="53"/>
      <c r="F1675"/>
      <c r="G1675"/>
      <c r="H1675"/>
      <c r="I1675"/>
      <c r="J1675"/>
      <c r="K1675"/>
      <c r="L1675"/>
      <c r="M1675"/>
    </row>
    <row r="1676" spans="2:13" s="49" customFormat="1" ht="13.95" customHeight="1" x14ac:dyDescent="0.3">
      <c r="B1676" s="53"/>
      <c r="C1676" s="57"/>
      <c r="D1676"/>
      <c r="E1676" s="53"/>
      <c r="F1676"/>
      <c r="G1676"/>
      <c r="H1676"/>
      <c r="I1676"/>
      <c r="J1676"/>
      <c r="K1676"/>
      <c r="L1676"/>
      <c r="M1676"/>
    </row>
    <row r="1677" spans="2:13" s="49" customFormat="1" ht="13.95" customHeight="1" x14ac:dyDescent="0.3">
      <c r="B1677" s="53"/>
      <c r="C1677" s="57"/>
      <c r="D1677"/>
      <c r="E1677" s="53"/>
      <c r="F1677"/>
      <c r="G1677"/>
      <c r="H1677"/>
      <c r="I1677"/>
      <c r="J1677"/>
      <c r="K1677"/>
      <c r="L1677"/>
      <c r="M1677"/>
    </row>
    <row r="1678" spans="2:13" s="49" customFormat="1" ht="13.95" customHeight="1" x14ac:dyDescent="0.3">
      <c r="B1678" s="53"/>
      <c r="C1678" s="57"/>
      <c r="D1678"/>
      <c r="E1678" s="53"/>
      <c r="F1678"/>
      <c r="G1678"/>
      <c r="H1678"/>
      <c r="I1678"/>
      <c r="J1678"/>
      <c r="K1678"/>
      <c r="L1678"/>
      <c r="M1678"/>
    </row>
    <row r="1679" spans="2:13" s="49" customFormat="1" ht="13.95" customHeight="1" x14ac:dyDescent="0.3">
      <c r="B1679" s="53"/>
      <c r="C1679" s="57"/>
      <c r="D1679"/>
      <c r="E1679" s="53"/>
      <c r="F1679"/>
      <c r="G1679"/>
      <c r="H1679"/>
      <c r="I1679"/>
      <c r="J1679"/>
      <c r="K1679"/>
      <c r="L1679"/>
      <c r="M1679"/>
    </row>
    <row r="1680" spans="2:13" s="49" customFormat="1" ht="13.95" customHeight="1" x14ac:dyDescent="0.3">
      <c r="B1680" s="53"/>
      <c r="C1680" s="57"/>
      <c r="D1680"/>
      <c r="E1680" s="53"/>
      <c r="F1680"/>
      <c r="G1680"/>
      <c r="H1680"/>
      <c r="I1680"/>
      <c r="J1680"/>
      <c r="K1680"/>
      <c r="L1680"/>
      <c r="M1680"/>
    </row>
    <row r="1681" spans="2:13" s="49" customFormat="1" ht="13.95" customHeight="1" x14ac:dyDescent="0.3">
      <c r="B1681" s="53"/>
      <c r="C1681" s="57"/>
      <c r="D1681"/>
      <c r="E1681" s="53"/>
      <c r="F1681"/>
      <c r="G1681"/>
      <c r="H1681"/>
      <c r="I1681"/>
      <c r="J1681"/>
      <c r="K1681"/>
      <c r="L1681"/>
      <c r="M1681"/>
    </row>
    <row r="1682" spans="2:13" s="49" customFormat="1" ht="13.95" customHeight="1" x14ac:dyDescent="0.3">
      <c r="B1682" s="53"/>
      <c r="C1682" s="57"/>
      <c r="D1682"/>
      <c r="E1682" s="53"/>
      <c r="F1682"/>
      <c r="G1682"/>
      <c r="H1682"/>
      <c r="I1682"/>
      <c r="J1682"/>
      <c r="K1682"/>
      <c r="L1682"/>
      <c r="M1682"/>
    </row>
    <row r="1683" spans="2:13" s="49" customFormat="1" ht="13.95" customHeight="1" x14ac:dyDescent="0.3">
      <c r="B1683" s="53"/>
      <c r="C1683" s="57"/>
      <c r="D1683"/>
      <c r="E1683" s="53"/>
      <c r="F1683"/>
      <c r="G1683"/>
      <c r="H1683"/>
      <c r="I1683"/>
      <c r="J1683"/>
      <c r="K1683"/>
      <c r="L1683"/>
      <c r="M1683"/>
    </row>
    <row r="1684" spans="2:13" s="49" customFormat="1" ht="13.95" customHeight="1" x14ac:dyDescent="0.3">
      <c r="B1684" s="53"/>
      <c r="C1684" s="57"/>
      <c r="D1684"/>
      <c r="E1684" s="53"/>
      <c r="F1684"/>
      <c r="G1684"/>
      <c r="H1684"/>
      <c r="I1684"/>
      <c r="J1684"/>
      <c r="K1684"/>
      <c r="L1684"/>
      <c r="M1684"/>
    </row>
    <row r="1685" spans="2:13" s="49" customFormat="1" ht="13.95" customHeight="1" x14ac:dyDescent="0.3">
      <c r="B1685" s="53"/>
      <c r="C1685" s="57"/>
      <c r="D1685"/>
      <c r="E1685" s="53"/>
      <c r="F1685"/>
      <c r="G1685"/>
      <c r="H1685"/>
      <c r="I1685"/>
      <c r="J1685"/>
      <c r="K1685"/>
      <c r="L1685"/>
      <c r="M1685"/>
    </row>
    <row r="1686" spans="2:13" s="49" customFormat="1" ht="13.95" customHeight="1" x14ac:dyDescent="0.3">
      <c r="B1686" s="53"/>
      <c r="C1686" s="57"/>
      <c r="D1686"/>
      <c r="E1686" s="53"/>
      <c r="F1686"/>
      <c r="G1686"/>
      <c r="H1686"/>
      <c r="I1686"/>
      <c r="J1686"/>
      <c r="K1686"/>
      <c r="L1686"/>
      <c r="M1686"/>
    </row>
    <row r="1687" spans="2:13" s="49" customFormat="1" ht="13.95" customHeight="1" x14ac:dyDescent="0.3">
      <c r="B1687" s="53"/>
      <c r="C1687" s="57"/>
      <c r="D1687"/>
      <c r="E1687" s="53"/>
      <c r="F1687"/>
      <c r="G1687"/>
      <c r="H1687"/>
      <c r="I1687"/>
      <c r="J1687"/>
      <c r="K1687"/>
      <c r="L1687"/>
      <c r="M1687"/>
    </row>
    <row r="1688" spans="2:13" s="49" customFormat="1" ht="13.95" customHeight="1" x14ac:dyDescent="0.3">
      <c r="B1688" s="53"/>
      <c r="C1688" s="57"/>
      <c r="D1688"/>
      <c r="E1688" s="53"/>
      <c r="F1688"/>
      <c r="G1688"/>
      <c r="H1688"/>
      <c r="I1688"/>
      <c r="J1688"/>
      <c r="K1688"/>
      <c r="L1688"/>
      <c r="M1688"/>
    </row>
    <row r="1689" spans="2:13" s="49" customFormat="1" ht="13.95" customHeight="1" x14ac:dyDescent="0.3">
      <c r="B1689" s="53"/>
      <c r="C1689" s="57"/>
      <c r="D1689"/>
      <c r="E1689" s="53"/>
      <c r="F1689"/>
      <c r="G1689"/>
      <c r="H1689"/>
      <c r="I1689"/>
      <c r="J1689"/>
      <c r="K1689"/>
      <c r="L1689"/>
      <c r="M1689"/>
    </row>
    <row r="1690" spans="2:13" s="49" customFormat="1" ht="13.95" customHeight="1" x14ac:dyDescent="0.3">
      <c r="B1690" s="53"/>
      <c r="C1690" s="57"/>
      <c r="D1690"/>
      <c r="E1690" s="53"/>
      <c r="F1690"/>
      <c r="G1690"/>
      <c r="H1690"/>
      <c r="I1690"/>
      <c r="J1690"/>
      <c r="K1690"/>
      <c r="L1690"/>
      <c r="M1690"/>
    </row>
    <row r="1691" spans="2:13" s="49" customFormat="1" ht="13.95" customHeight="1" x14ac:dyDescent="0.3">
      <c r="B1691" s="53"/>
      <c r="C1691" s="57"/>
      <c r="D1691"/>
      <c r="E1691" s="53"/>
      <c r="F1691"/>
      <c r="G1691"/>
      <c r="H1691"/>
      <c r="I1691"/>
      <c r="J1691"/>
      <c r="K1691"/>
      <c r="L1691"/>
      <c r="M1691"/>
    </row>
    <row r="1692" spans="2:13" s="49" customFormat="1" ht="13.95" customHeight="1" x14ac:dyDescent="0.3">
      <c r="B1692" s="53"/>
      <c r="C1692" s="57"/>
      <c r="D1692"/>
      <c r="E1692" s="53"/>
      <c r="F1692"/>
      <c r="G1692"/>
      <c r="H1692"/>
      <c r="I1692"/>
      <c r="J1692"/>
      <c r="K1692"/>
      <c r="L1692"/>
      <c r="M1692"/>
    </row>
    <row r="1693" spans="2:13" s="49" customFormat="1" ht="13.95" customHeight="1" x14ac:dyDescent="0.3">
      <c r="B1693" s="53"/>
      <c r="C1693" s="57"/>
      <c r="D1693"/>
      <c r="E1693" s="53"/>
      <c r="F1693"/>
      <c r="G1693"/>
      <c r="H1693"/>
      <c r="I1693"/>
      <c r="J1693"/>
      <c r="K1693"/>
      <c r="L1693"/>
      <c r="M1693"/>
    </row>
    <row r="1694" spans="2:13" s="49" customFormat="1" ht="13.95" customHeight="1" x14ac:dyDescent="0.3">
      <c r="B1694" s="53"/>
      <c r="C1694" s="57"/>
      <c r="D1694"/>
      <c r="E1694" s="53"/>
      <c r="F1694"/>
      <c r="G1694"/>
      <c r="H1694"/>
      <c r="I1694"/>
      <c r="J1694"/>
      <c r="K1694"/>
      <c r="L1694"/>
      <c r="M1694"/>
    </row>
    <row r="1695" spans="2:13" s="49" customFormat="1" ht="13.95" customHeight="1" x14ac:dyDescent="0.3">
      <c r="B1695" s="53"/>
      <c r="C1695" s="57"/>
      <c r="D1695"/>
      <c r="E1695" s="53"/>
      <c r="F1695"/>
      <c r="G1695"/>
      <c r="H1695"/>
      <c r="I1695"/>
      <c r="J1695"/>
      <c r="K1695"/>
      <c r="L1695"/>
      <c r="M1695"/>
    </row>
    <row r="1696" spans="2:13" s="49" customFormat="1" ht="13.95" customHeight="1" x14ac:dyDescent="0.3">
      <c r="B1696" s="53"/>
      <c r="C1696" s="57"/>
      <c r="D1696"/>
      <c r="E1696" s="53"/>
      <c r="F1696"/>
      <c r="G1696"/>
      <c r="H1696"/>
      <c r="I1696"/>
      <c r="J1696"/>
      <c r="K1696"/>
      <c r="L1696"/>
      <c r="M1696"/>
    </row>
    <row r="1697" spans="2:13" s="49" customFormat="1" ht="13.95" customHeight="1" x14ac:dyDescent="0.3">
      <c r="B1697" s="53"/>
      <c r="C1697" s="57"/>
      <c r="D1697"/>
      <c r="E1697" s="53"/>
      <c r="F1697"/>
      <c r="G1697"/>
      <c r="H1697"/>
      <c r="I1697"/>
      <c r="J1697"/>
      <c r="K1697"/>
      <c r="L1697"/>
      <c r="M1697"/>
    </row>
    <row r="1698" spans="2:13" s="49" customFormat="1" ht="13.95" customHeight="1" x14ac:dyDescent="0.3">
      <c r="B1698" s="53"/>
      <c r="C1698" s="57"/>
      <c r="D1698"/>
      <c r="E1698" s="53"/>
      <c r="F1698"/>
      <c r="G1698"/>
      <c r="H1698"/>
      <c r="I1698"/>
      <c r="J1698"/>
      <c r="K1698"/>
      <c r="L1698"/>
      <c r="M1698"/>
    </row>
    <row r="1699" spans="2:13" s="49" customFormat="1" ht="13.95" customHeight="1" x14ac:dyDescent="0.3">
      <c r="B1699" s="53"/>
      <c r="C1699" s="57"/>
      <c r="D1699"/>
      <c r="E1699" s="53"/>
      <c r="F1699"/>
      <c r="G1699"/>
      <c r="H1699"/>
      <c r="I1699"/>
      <c r="J1699"/>
      <c r="K1699"/>
      <c r="L1699"/>
      <c r="M1699"/>
    </row>
    <row r="1700" spans="2:13" s="49" customFormat="1" ht="13.95" customHeight="1" x14ac:dyDescent="0.3">
      <c r="B1700" s="53"/>
      <c r="C1700" s="57"/>
      <c r="D1700"/>
      <c r="E1700" s="53"/>
      <c r="F1700"/>
      <c r="G1700"/>
      <c r="H1700"/>
      <c r="I1700"/>
      <c r="J1700"/>
      <c r="K1700"/>
      <c r="L1700"/>
      <c r="M1700"/>
    </row>
    <row r="1701" spans="2:13" s="49" customFormat="1" ht="13.95" customHeight="1" x14ac:dyDescent="0.3">
      <c r="B1701" s="53"/>
      <c r="C1701" s="57"/>
      <c r="D1701"/>
      <c r="E1701" s="53"/>
      <c r="F1701"/>
      <c r="G1701"/>
      <c r="H1701"/>
      <c r="I1701"/>
      <c r="J1701"/>
      <c r="K1701"/>
      <c r="L1701"/>
      <c r="M1701"/>
    </row>
    <row r="1702" spans="2:13" s="49" customFormat="1" ht="13.95" customHeight="1" x14ac:dyDescent="0.3">
      <c r="B1702" s="53"/>
      <c r="C1702" s="57"/>
      <c r="D1702"/>
      <c r="E1702" s="53"/>
      <c r="F1702"/>
      <c r="G1702"/>
      <c r="H1702"/>
      <c r="I1702"/>
      <c r="J1702"/>
      <c r="K1702"/>
      <c r="L1702"/>
      <c r="M1702"/>
    </row>
    <row r="1703" spans="2:13" s="49" customFormat="1" ht="13.95" customHeight="1" x14ac:dyDescent="0.3">
      <c r="B1703" s="53"/>
      <c r="C1703" s="57"/>
      <c r="D1703"/>
      <c r="E1703" s="53"/>
      <c r="F1703"/>
      <c r="G1703"/>
      <c r="H1703"/>
      <c r="I1703"/>
      <c r="J1703"/>
      <c r="K1703"/>
      <c r="L1703"/>
      <c r="M1703"/>
    </row>
    <row r="1704" spans="2:13" s="49" customFormat="1" ht="13.95" customHeight="1" x14ac:dyDescent="0.3">
      <c r="B1704" s="53"/>
      <c r="C1704" s="57"/>
      <c r="D1704"/>
      <c r="E1704" s="53"/>
      <c r="F1704"/>
      <c r="G1704"/>
      <c r="H1704"/>
      <c r="I1704"/>
      <c r="J1704"/>
      <c r="K1704"/>
      <c r="L1704"/>
      <c r="M1704"/>
    </row>
    <row r="1705" spans="2:13" s="49" customFormat="1" ht="13.95" customHeight="1" x14ac:dyDescent="0.3">
      <c r="B1705" s="53"/>
      <c r="C1705" s="57"/>
      <c r="D1705"/>
      <c r="E1705" s="53"/>
      <c r="F1705"/>
      <c r="G1705"/>
      <c r="H1705"/>
      <c r="I1705"/>
      <c r="J1705"/>
      <c r="K1705"/>
      <c r="L1705"/>
      <c r="M1705"/>
    </row>
    <row r="1706" spans="2:13" s="49" customFormat="1" ht="13.95" customHeight="1" x14ac:dyDescent="0.3">
      <c r="B1706" s="53"/>
      <c r="C1706" s="57"/>
      <c r="D1706"/>
      <c r="E1706" s="53"/>
      <c r="F1706"/>
      <c r="G1706"/>
      <c r="H1706"/>
      <c r="I1706"/>
      <c r="J1706"/>
      <c r="K1706"/>
      <c r="L1706"/>
      <c r="M1706"/>
    </row>
    <row r="1707" spans="2:13" s="49" customFormat="1" ht="13.95" customHeight="1" x14ac:dyDescent="0.3">
      <c r="B1707" s="53"/>
      <c r="C1707" s="57"/>
      <c r="D1707"/>
      <c r="E1707" s="53"/>
      <c r="F1707"/>
      <c r="G1707"/>
      <c r="H1707"/>
      <c r="I1707"/>
      <c r="J1707"/>
      <c r="K1707"/>
      <c r="L1707"/>
      <c r="M1707"/>
    </row>
    <row r="1708" spans="2:13" s="49" customFormat="1" ht="13.95" customHeight="1" x14ac:dyDescent="0.3">
      <c r="B1708" s="53"/>
      <c r="C1708" s="57"/>
      <c r="D1708"/>
      <c r="E1708" s="53"/>
      <c r="F1708"/>
      <c r="G1708"/>
      <c r="H1708"/>
      <c r="I1708"/>
      <c r="J1708"/>
      <c r="K1708"/>
      <c r="L1708"/>
      <c r="M1708"/>
    </row>
    <row r="1709" spans="2:13" s="49" customFormat="1" ht="13.95" customHeight="1" x14ac:dyDescent="0.3">
      <c r="B1709" s="53"/>
      <c r="C1709" s="57"/>
      <c r="D1709"/>
      <c r="E1709" s="53"/>
      <c r="F1709"/>
      <c r="G1709"/>
      <c r="H1709"/>
      <c r="I1709"/>
      <c r="J1709"/>
      <c r="K1709"/>
      <c r="L1709"/>
      <c r="M1709"/>
    </row>
    <row r="1710" spans="2:13" s="49" customFormat="1" ht="13.95" customHeight="1" x14ac:dyDescent="0.3">
      <c r="B1710" s="53"/>
      <c r="C1710" s="57"/>
      <c r="D1710"/>
      <c r="E1710" s="53"/>
      <c r="F1710"/>
      <c r="G1710"/>
      <c r="H1710"/>
      <c r="I1710"/>
      <c r="J1710"/>
      <c r="K1710"/>
      <c r="L1710"/>
      <c r="M1710"/>
    </row>
    <row r="1711" spans="2:13" s="49" customFormat="1" ht="13.95" customHeight="1" x14ac:dyDescent="0.3">
      <c r="B1711" s="53"/>
      <c r="C1711" s="57"/>
      <c r="D1711"/>
      <c r="E1711" s="53"/>
      <c r="F1711"/>
      <c r="G1711"/>
      <c r="H1711"/>
      <c r="I1711"/>
      <c r="J1711"/>
      <c r="K1711"/>
      <c r="L1711"/>
      <c r="M1711"/>
    </row>
    <row r="1712" spans="2:13" s="49" customFormat="1" ht="13.95" customHeight="1" x14ac:dyDescent="0.3">
      <c r="B1712" s="53"/>
      <c r="C1712" s="57"/>
      <c r="D1712"/>
      <c r="E1712" s="53"/>
      <c r="F1712"/>
      <c r="G1712"/>
      <c r="H1712"/>
      <c r="I1712"/>
      <c r="J1712"/>
      <c r="K1712"/>
      <c r="L1712"/>
      <c r="M1712"/>
    </row>
    <row r="1713" spans="2:13" s="49" customFormat="1" ht="13.95" customHeight="1" x14ac:dyDescent="0.3">
      <c r="B1713" s="53"/>
      <c r="C1713" s="57"/>
      <c r="D1713"/>
      <c r="E1713" s="53"/>
      <c r="F1713"/>
      <c r="G1713"/>
      <c r="H1713"/>
      <c r="I1713"/>
      <c r="J1713"/>
      <c r="K1713"/>
      <c r="L1713"/>
      <c r="M1713"/>
    </row>
    <row r="1714" spans="2:13" s="49" customFormat="1" ht="13.95" customHeight="1" x14ac:dyDescent="0.3">
      <c r="B1714" s="53"/>
      <c r="C1714" s="57"/>
      <c r="D1714"/>
      <c r="E1714" s="53"/>
      <c r="F1714"/>
      <c r="G1714"/>
      <c r="H1714"/>
      <c r="I1714"/>
      <c r="J1714"/>
      <c r="K1714"/>
      <c r="L1714"/>
      <c r="M1714"/>
    </row>
    <row r="1715" spans="2:13" s="49" customFormat="1" ht="13.95" customHeight="1" x14ac:dyDescent="0.3">
      <c r="B1715" s="53"/>
      <c r="C1715" s="57"/>
      <c r="D1715"/>
      <c r="E1715" s="53"/>
      <c r="F1715"/>
      <c r="G1715"/>
      <c r="H1715"/>
      <c r="I1715"/>
      <c r="J1715"/>
      <c r="K1715"/>
      <c r="L1715"/>
      <c r="M1715"/>
    </row>
    <row r="1716" spans="2:13" s="49" customFormat="1" ht="13.95" customHeight="1" x14ac:dyDescent="0.3">
      <c r="B1716" s="53"/>
      <c r="C1716" s="57"/>
      <c r="D1716"/>
      <c r="E1716" s="53"/>
      <c r="F1716"/>
      <c r="G1716"/>
      <c r="H1716"/>
      <c r="I1716"/>
      <c r="J1716"/>
      <c r="K1716"/>
      <c r="L1716"/>
      <c r="M1716"/>
    </row>
    <row r="1717" spans="2:13" s="49" customFormat="1" ht="13.95" customHeight="1" x14ac:dyDescent="0.3">
      <c r="B1717" s="53"/>
      <c r="C1717" s="57"/>
      <c r="D1717"/>
      <c r="E1717" s="53"/>
      <c r="F1717"/>
      <c r="G1717"/>
      <c r="H1717"/>
      <c r="I1717"/>
      <c r="J1717"/>
      <c r="K1717"/>
      <c r="L1717"/>
      <c r="M1717"/>
    </row>
    <row r="1718" spans="2:13" s="49" customFormat="1" ht="13.95" customHeight="1" x14ac:dyDescent="0.3">
      <c r="B1718" s="53"/>
      <c r="C1718" s="57"/>
      <c r="D1718"/>
      <c r="E1718" s="53"/>
      <c r="F1718"/>
      <c r="G1718"/>
      <c r="H1718"/>
      <c r="I1718"/>
      <c r="J1718"/>
      <c r="K1718"/>
      <c r="L1718"/>
      <c r="M1718"/>
    </row>
    <row r="1719" spans="2:13" s="49" customFormat="1" ht="13.95" customHeight="1" x14ac:dyDescent="0.3">
      <c r="B1719" s="53"/>
      <c r="C1719" s="57"/>
      <c r="D1719"/>
      <c r="E1719" s="53"/>
      <c r="F1719"/>
      <c r="G1719"/>
      <c r="H1719"/>
      <c r="I1719"/>
      <c r="J1719"/>
      <c r="K1719"/>
      <c r="L1719"/>
      <c r="M1719"/>
    </row>
    <row r="1720" spans="2:13" s="49" customFormat="1" ht="13.95" customHeight="1" x14ac:dyDescent="0.3">
      <c r="B1720" s="53"/>
      <c r="C1720" s="57"/>
      <c r="D1720"/>
      <c r="E1720" s="53"/>
      <c r="F1720"/>
      <c r="G1720"/>
      <c r="H1720"/>
      <c r="I1720"/>
      <c r="J1720"/>
      <c r="K1720"/>
      <c r="L1720"/>
      <c r="M1720"/>
    </row>
    <row r="1721" spans="2:13" s="49" customFormat="1" ht="13.95" customHeight="1" x14ac:dyDescent="0.3">
      <c r="B1721" s="53"/>
      <c r="C1721" s="57"/>
      <c r="D1721"/>
      <c r="E1721" s="53"/>
      <c r="F1721"/>
      <c r="G1721"/>
      <c r="H1721"/>
      <c r="I1721"/>
      <c r="J1721"/>
      <c r="K1721"/>
      <c r="L1721"/>
      <c r="M1721"/>
    </row>
    <row r="1722" spans="2:13" s="49" customFormat="1" ht="13.95" customHeight="1" x14ac:dyDescent="0.3">
      <c r="B1722" s="53"/>
      <c r="C1722" s="57"/>
      <c r="D1722"/>
      <c r="E1722" s="53"/>
      <c r="F1722"/>
      <c r="G1722"/>
      <c r="H1722"/>
      <c r="I1722"/>
      <c r="J1722"/>
      <c r="K1722"/>
      <c r="L1722"/>
      <c r="M1722"/>
    </row>
    <row r="1723" spans="2:13" s="49" customFormat="1" ht="13.95" customHeight="1" x14ac:dyDescent="0.3">
      <c r="B1723" s="53"/>
      <c r="C1723" s="57"/>
      <c r="D1723"/>
      <c r="E1723" s="53"/>
      <c r="F1723"/>
      <c r="G1723"/>
      <c r="H1723"/>
      <c r="I1723"/>
      <c r="J1723"/>
      <c r="K1723"/>
      <c r="L1723"/>
      <c r="M1723"/>
    </row>
    <row r="1724" spans="2:13" s="49" customFormat="1" ht="13.95" customHeight="1" x14ac:dyDescent="0.3">
      <c r="B1724" s="53"/>
      <c r="C1724" s="57"/>
      <c r="D1724"/>
      <c r="E1724" s="53"/>
      <c r="F1724"/>
      <c r="G1724"/>
      <c r="H1724"/>
      <c r="I1724"/>
      <c r="J1724"/>
      <c r="K1724"/>
      <c r="L1724"/>
      <c r="M1724"/>
    </row>
    <row r="1725" spans="2:13" s="49" customFormat="1" ht="13.95" customHeight="1" x14ac:dyDescent="0.3">
      <c r="B1725" s="53"/>
      <c r="C1725" s="57"/>
      <c r="D1725"/>
      <c r="E1725" s="53"/>
      <c r="F1725"/>
      <c r="G1725"/>
      <c r="H1725"/>
      <c r="I1725"/>
      <c r="J1725"/>
      <c r="K1725"/>
      <c r="L1725"/>
      <c r="M1725"/>
    </row>
    <row r="1726" spans="2:13" s="49" customFormat="1" ht="13.95" customHeight="1" x14ac:dyDescent="0.3">
      <c r="B1726" s="53"/>
      <c r="C1726" s="57"/>
      <c r="D1726"/>
      <c r="E1726" s="53"/>
      <c r="F1726"/>
      <c r="G1726"/>
      <c r="H1726"/>
      <c r="I1726"/>
      <c r="J1726"/>
      <c r="K1726"/>
      <c r="L1726"/>
      <c r="M1726"/>
    </row>
    <row r="1727" spans="2:13" s="49" customFormat="1" ht="13.95" customHeight="1" x14ac:dyDescent="0.3">
      <c r="B1727" s="53"/>
      <c r="C1727" s="57"/>
      <c r="D1727"/>
      <c r="E1727" s="53"/>
      <c r="F1727"/>
      <c r="G1727"/>
      <c r="H1727"/>
      <c r="I1727"/>
      <c r="J1727"/>
      <c r="K1727"/>
      <c r="L1727"/>
      <c r="M1727"/>
    </row>
    <row r="1728" spans="2:13" s="49" customFormat="1" ht="13.95" customHeight="1" x14ac:dyDescent="0.3">
      <c r="B1728" s="53"/>
      <c r="C1728" s="57"/>
      <c r="D1728"/>
      <c r="E1728" s="53"/>
      <c r="F1728"/>
      <c r="G1728"/>
      <c r="H1728"/>
      <c r="I1728"/>
      <c r="J1728"/>
      <c r="K1728"/>
      <c r="L1728"/>
      <c r="M1728"/>
    </row>
    <row r="1729" spans="2:13" s="49" customFormat="1" ht="13.95" customHeight="1" x14ac:dyDescent="0.3">
      <c r="B1729" s="53"/>
      <c r="C1729" s="57"/>
      <c r="D1729"/>
      <c r="E1729" s="53"/>
      <c r="F1729"/>
      <c r="G1729"/>
      <c r="H1729"/>
      <c r="I1729"/>
      <c r="J1729"/>
      <c r="K1729"/>
      <c r="L1729"/>
      <c r="M1729"/>
    </row>
    <row r="1730" spans="2:13" s="49" customFormat="1" ht="13.95" customHeight="1" x14ac:dyDescent="0.3">
      <c r="B1730" s="53"/>
      <c r="C1730" s="57"/>
      <c r="D1730"/>
      <c r="E1730" s="53"/>
      <c r="F1730"/>
      <c r="G1730"/>
      <c r="H1730"/>
      <c r="I1730"/>
      <c r="J1730"/>
      <c r="K1730"/>
      <c r="L1730"/>
      <c r="M1730"/>
    </row>
    <row r="1731" spans="2:13" s="49" customFormat="1" ht="13.95" customHeight="1" x14ac:dyDescent="0.3">
      <c r="B1731" s="53"/>
      <c r="C1731" s="57"/>
      <c r="D1731"/>
      <c r="E1731" s="53"/>
      <c r="F1731"/>
      <c r="G1731"/>
      <c r="H1731"/>
      <c r="I1731"/>
      <c r="J1731"/>
      <c r="K1731"/>
      <c r="L1731"/>
      <c r="M1731"/>
    </row>
    <row r="1732" spans="2:13" s="49" customFormat="1" ht="13.95" customHeight="1" x14ac:dyDescent="0.3">
      <c r="B1732" s="53"/>
      <c r="C1732" s="57"/>
      <c r="D1732"/>
      <c r="E1732" s="53"/>
      <c r="F1732"/>
      <c r="G1732"/>
      <c r="H1732"/>
      <c r="I1732"/>
      <c r="J1732"/>
      <c r="K1732"/>
      <c r="L1732"/>
      <c r="M1732"/>
    </row>
    <row r="1733" spans="2:13" s="49" customFormat="1" ht="13.95" customHeight="1" x14ac:dyDescent="0.3">
      <c r="B1733" s="53"/>
      <c r="C1733" s="57"/>
      <c r="D1733"/>
      <c r="E1733" s="53"/>
      <c r="F1733"/>
      <c r="G1733"/>
      <c r="H1733"/>
      <c r="I1733"/>
      <c r="J1733"/>
      <c r="K1733"/>
      <c r="L1733"/>
      <c r="M1733"/>
    </row>
    <row r="1734" spans="2:13" s="49" customFormat="1" ht="13.95" customHeight="1" x14ac:dyDescent="0.3">
      <c r="B1734" s="53"/>
      <c r="C1734" s="57"/>
      <c r="D1734"/>
      <c r="E1734" s="53"/>
      <c r="F1734"/>
      <c r="G1734"/>
      <c r="H1734"/>
      <c r="I1734"/>
      <c r="J1734"/>
      <c r="K1734"/>
      <c r="L1734"/>
      <c r="M1734"/>
    </row>
    <row r="1735" spans="2:13" s="49" customFormat="1" ht="13.95" customHeight="1" x14ac:dyDescent="0.3">
      <c r="B1735" s="53"/>
      <c r="C1735" s="57"/>
      <c r="D1735"/>
      <c r="E1735" s="53"/>
      <c r="F1735"/>
      <c r="G1735"/>
      <c r="H1735"/>
      <c r="I1735"/>
      <c r="J1735"/>
      <c r="K1735"/>
      <c r="L1735"/>
      <c r="M1735"/>
    </row>
    <row r="1736" spans="2:13" s="49" customFormat="1" ht="13.95" customHeight="1" x14ac:dyDescent="0.3">
      <c r="B1736" s="53"/>
      <c r="C1736" s="57"/>
      <c r="D1736"/>
      <c r="E1736" s="53"/>
      <c r="F1736"/>
      <c r="G1736"/>
      <c r="H1736"/>
      <c r="I1736"/>
      <c r="J1736"/>
      <c r="K1736"/>
      <c r="L1736"/>
      <c r="M1736"/>
    </row>
    <row r="1737" spans="2:13" s="49" customFormat="1" ht="13.95" customHeight="1" x14ac:dyDescent="0.3">
      <c r="B1737" s="53"/>
      <c r="C1737" s="57"/>
      <c r="D1737"/>
      <c r="E1737" s="53"/>
      <c r="F1737"/>
      <c r="G1737"/>
      <c r="H1737"/>
      <c r="I1737"/>
      <c r="J1737"/>
      <c r="K1737"/>
      <c r="L1737"/>
      <c r="M1737"/>
    </row>
    <row r="1738" spans="2:13" s="49" customFormat="1" ht="13.95" customHeight="1" x14ac:dyDescent="0.3">
      <c r="B1738" s="53"/>
      <c r="C1738" s="57"/>
      <c r="D1738"/>
      <c r="E1738" s="53"/>
      <c r="F1738"/>
      <c r="G1738"/>
      <c r="H1738"/>
      <c r="I1738"/>
      <c r="J1738"/>
      <c r="K1738"/>
      <c r="L1738"/>
      <c r="M1738"/>
    </row>
    <row r="1739" spans="2:13" s="49" customFormat="1" ht="13.95" customHeight="1" x14ac:dyDescent="0.3">
      <c r="B1739" s="53"/>
      <c r="C1739" s="57"/>
      <c r="D1739"/>
      <c r="E1739" s="53"/>
      <c r="F1739"/>
      <c r="G1739"/>
      <c r="H1739"/>
      <c r="I1739"/>
      <c r="J1739"/>
      <c r="K1739"/>
      <c r="L1739"/>
      <c r="M1739"/>
    </row>
    <row r="1740" spans="2:13" s="49" customFormat="1" ht="13.95" customHeight="1" x14ac:dyDescent="0.3">
      <c r="B1740" s="53"/>
      <c r="C1740" s="57"/>
      <c r="D1740"/>
      <c r="E1740" s="53"/>
      <c r="F1740"/>
      <c r="G1740"/>
      <c r="H1740"/>
      <c r="I1740"/>
      <c r="J1740"/>
      <c r="K1740"/>
      <c r="L1740"/>
      <c r="M1740"/>
    </row>
    <row r="1741" spans="2:13" s="49" customFormat="1" ht="13.95" customHeight="1" x14ac:dyDescent="0.3">
      <c r="B1741" s="53"/>
      <c r="C1741" s="57"/>
      <c r="D1741"/>
      <c r="E1741" s="53"/>
      <c r="F1741"/>
      <c r="G1741"/>
      <c r="H1741"/>
      <c r="I1741"/>
      <c r="J1741"/>
      <c r="K1741"/>
      <c r="L1741"/>
      <c r="M1741"/>
    </row>
    <row r="1742" spans="2:13" s="49" customFormat="1" ht="13.95" customHeight="1" x14ac:dyDescent="0.3">
      <c r="B1742" s="53"/>
      <c r="C1742" s="57"/>
      <c r="D1742"/>
      <c r="E1742" s="53"/>
      <c r="F1742"/>
      <c r="G1742"/>
      <c r="H1742"/>
      <c r="I1742"/>
      <c r="J1742"/>
      <c r="K1742"/>
      <c r="L1742"/>
      <c r="M1742"/>
    </row>
    <row r="1743" spans="2:13" s="49" customFormat="1" ht="13.95" customHeight="1" x14ac:dyDescent="0.3">
      <c r="B1743" s="53"/>
      <c r="C1743" s="57"/>
      <c r="D1743"/>
      <c r="E1743" s="53"/>
      <c r="F1743"/>
      <c r="G1743"/>
      <c r="H1743"/>
      <c r="I1743"/>
      <c r="J1743"/>
      <c r="K1743"/>
      <c r="L1743"/>
      <c r="M1743"/>
    </row>
    <row r="1744" spans="2:13" s="49" customFormat="1" ht="13.95" customHeight="1" x14ac:dyDescent="0.3">
      <c r="B1744" s="53"/>
      <c r="C1744" s="57"/>
      <c r="D1744"/>
      <c r="E1744" s="53"/>
      <c r="F1744"/>
      <c r="G1744"/>
      <c r="H1744"/>
      <c r="I1744"/>
      <c r="J1744"/>
      <c r="K1744"/>
      <c r="L1744"/>
      <c r="M1744"/>
    </row>
    <row r="1745" spans="2:13" s="49" customFormat="1" ht="13.95" customHeight="1" x14ac:dyDescent="0.3">
      <c r="B1745" s="53"/>
      <c r="C1745" s="57"/>
      <c r="D1745"/>
      <c r="E1745" s="53"/>
      <c r="F1745"/>
      <c r="G1745"/>
      <c r="H1745"/>
      <c r="I1745"/>
      <c r="J1745"/>
      <c r="K1745"/>
      <c r="L1745"/>
      <c r="M1745"/>
    </row>
    <row r="1746" spans="2:13" s="49" customFormat="1" ht="13.95" customHeight="1" x14ac:dyDescent="0.3">
      <c r="B1746" s="53"/>
      <c r="C1746" s="57"/>
      <c r="D1746"/>
      <c r="E1746" s="53"/>
      <c r="F1746"/>
      <c r="G1746"/>
      <c r="H1746"/>
      <c r="I1746"/>
      <c r="J1746"/>
      <c r="K1746"/>
      <c r="L1746"/>
      <c r="M1746"/>
    </row>
    <row r="1747" spans="2:13" s="49" customFormat="1" ht="13.95" customHeight="1" x14ac:dyDescent="0.3">
      <c r="B1747" s="53"/>
      <c r="C1747" s="57"/>
      <c r="D1747"/>
      <c r="E1747" s="53"/>
      <c r="F1747"/>
      <c r="G1747"/>
      <c r="H1747"/>
      <c r="I1747"/>
      <c r="J1747"/>
      <c r="K1747"/>
      <c r="L1747"/>
      <c r="M1747"/>
    </row>
    <row r="1748" spans="2:13" s="49" customFormat="1" ht="13.95" customHeight="1" x14ac:dyDescent="0.3">
      <c r="B1748" s="53"/>
      <c r="C1748" s="57"/>
      <c r="D1748"/>
      <c r="E1748" s="53"/>
      <c r="F1748"/>
      <c r="G1748"/>
      <c r="H1748"/>
      <c r="I1748"/>
      <c r="J1748"/>
      <c r="K1748"/>
      <c r="L1748"/>
      <c r="M1748"/>
    </row>
    <row r="1749" spans="2:13" s="49" customFormat="1" ht="13.95" customHeight="1" x14ac:dyDescent="0.3">
      <c r="B1749" s="53"/>
      <c r="C1749" s="57"/>
      <c r="D1749"/>
      <c r="E1749" s="53"/>
      <c r="F1749"/>
      <c r="G1749"/>
      <c r="H1749"/>
      <c r="I1749"/>
      <c r="J1749"/>
      <c r="K1749"/>
      <c r="L1749"/>
      <c r="M1749"/>
    </row>
    <row r="1750" spans="2:13" s="49" customFormat="1" ht="13.95" customHeight="1" x14ac:dyDescent="0.3">
      <c r="B1750" s="53"/>
      <c r="C1750" s="57"/>
      <c r="D1750"/>
      <c r="E1750" s="53"/>
      <c r="F1750"/>
      <c r="G1750"/>
      <c r="H1750"/>
      <c r="I1750"/>
      <c r="J1750"/>
      <c r="K1750"/>
      <c r="L1750"/>
      <c r="M1750"/>
    </row>
    <row r="1751" spans="2:13" s="49" customFormat="1" ht="13.95" customHeight="1" x14ac:dyDescent="0.3">
      <c r="B1751" s="53"/>
      <c r="C1751" s="57"/>
      <c r="D1751"/>
      <c r="E1751" s="53"/>
      <c r="F1751"/>
      <c r="G1751"/>
      <c r="H1751"/>
      <c r="I1751"/>
      <c r="J1751"/>
      <c r="K1751"/>
      <c r="L1751"/>
      <c r="M1751"/>
    </row>
    <row r="1752" spans="2:13" s="49" customFormat="1" ht="13.95" customHeight="1" x14ac:dyDescent="0.3">
      <c r="B1752" s="53"/>
      <c r="C1752" s="57"/>
      <c r="D1752"/>
      <c r="E1752" s="53"/>
      <c r="F1752"/>
      <c r="G1752"/>
      <c r="H1752"/>
      <c r="I1752"/>
      <c r="J1752"/>
      <c r="K1752"/>
      <c r="L1752"/>
      <c r="M1752"/>
    </row>
    <row r="1753" spans="2:13" s="49" customFormat="1" ht="13.95" customHeight="1" x14ac:dyDescent="0.3">
      <c r="B1753" s="53"/>
      <c r="C1753" s="57"/>
      <c r="D1753"/>
      <c r="E1753" s="53"/>
      <c r="F1753"/>
      <c r="G1753"/>
      <c r="H1753"/>
      <c r="I1753"/>
      <c r="J1753"/>
      <c r="K1753"/>
      <c r="L1753"/>
      <c r="M1753"/>
    </row>
    <row r="1754" spans="2:13" s="49" customFormat="1" ht="13.95" customHeight="1" x14ac:dyDescent="0.3">
      <c r="B1754" s="53"/>
      <c r="C1754" s="57"/>
      <c r="D1754"/>
      <c r="E1754" s="53"/>
      <c r="F1754"/>
      <c r="G1754"/>
      <c r="H1754"/>
      <c r="I1754"/>
      <c r="J1754"/>
      <c r="K1754"/>
      <c r="L1754"/>
      <c r="M1754"/>
    </row>
    <row r="1755" spans="2:13" s="49" customFormat="1" ht="13.95" customHeight="1" x14ac:dyDescent="0.3">
      <c r="B1755" s="53"/>
      <c r="C1755" s="57"/>
      <c r="D1755"/>
      <c r="E1755" s="53"/>
      <c r="F1755"/>
      <c r="G1755"/>
      <c r="H1755"/>
      <c r="I1755"/>
      <c r="J1755"/>
      <c r="K1755"/>
      <c r="L1755"/>
      <c r="M1755"/>
    </row>
    <row r="1756" spans="2:13" s="49" customFormat="1" ht="13.95" customHeight="1" x14ac:dyDescent="0.3">
      <c r="B1756" s="53"/>
      <c r="C1756" s="57"/>
      <c r="D1756"/>
      <c r="E1756" s="53"/>
      <c r="F1756"/>
      <c r="G1756"/>
      <c r="H1756"/>
      <c r="I1756"/>
      <c r="J1756"/>
      <c r="K1756"/>
      <c r="L1756"/>
      <c r="M1756"/>
    </row>
    <row r="1757" spans="2:13" s="49" customFormat="1" ht="13.95" customHeight="1" x14ac:dyDescent="0.3">
      <c r="B1757" s="53"/>
      <c r="C1757" s="57"/>
      <c r="D1757"/>
      <c r="E1757" s="53"/>
      <c r="F1757"/>
      <c r="G1757"/>
      <c r="H1757"/>
      <c r="I1757"/>
      <c r="J1757"/>
      <c r="K1757"/>
      <c r="L1757"/>
      <c r="M1757"/>
    </row>
    <row r="1758" spans="2:13" s="49" customFormat="1" ht="13.95" customHeight="1" x14ac:dyDescent="0.3">
      <c r="B1758" s="53"/>
      <c r="C1758" s="57"/>
      <c r="D1758"/>
      <c r="E1758" s="53"/>
      <c r="F1758"/>
      <c r="G1758"/>
      <c r="H1758"/>
      <c r="I1758"/>
      <c r="J1758"/>
      <c r="K1758"/>
      <c r="L1758"/>
      <c r="M1758"/>
    </row>
    <row r="1759" spans="2:13" s="49" customFormat="1" ht="13.95" customHeight="1" x14ac:dyDescent="0.3">
      <c r="B1759" s="53"/>
      <c r="C1759" s="57"/>
      <c r="D1759"/>
      <c r="E1759" s="53"/>
      <c r="F1759"/>
      <c r="G1759"/>
      <c r="H1759"/>
      <c r="I1759"/>
      <c r="J1759"/>
      <c r="K1759"/>
      <c r="L1759"/>
      <c r="M1759"/>
    </row>
    <row r="1760" spans="2:13" s="49" customFormat="1" ht="13.95" customHeight="1" x14ac:dyDescent="0.3">
      <c r="B1760" s="53"/>
      <c r="C1760" s="57"/>
      <c r="D1760"/>
      <c r="E1760" s="53"/>
      <c r="F1760"/>
      <c r="G1760"/>
      <c r="H1760"/>
      <c r="I1760"/>
      <c r="J1760"/>
      <c r="K1760"/>
      <c r="L1760"/>
      <c r="M1760"/>
    </row>
    <row r="1761" spans="2:13" s="49" customFormat="1" ht="13.95" customHeight="1" x14ac:dyDescent="0.3">
      <c r="B1761" s="53"/>
      <c r="C1761" s="57"/>
      <c r="D1761"/>
      <c r="E1761" s="53"/>
      <c r="F1761"/>
      <c r="G1761"/>
      <c r="H1761"/>
      <c r="I1761"/>
      <c r="J1761"/>
      <c r="K1761"/>
      <c r="L1761"/>
      <c r="M1761"/>
    </row>
    <row r="1762" spans="2:13" s="49" customFormat="1" ht="13.95" customHeight="1" x14ac:dyDescent="0.3">
      <c r="B1762" s="53"/>
      <c r="C1762" s="57"/>
      <c r="D1762"/>
      <c r="E1762" s="53"/>
      <c r="F1762"/>
      <c r="G1762"/>
      <c r="H1762"/>
      <c r="I1762"/>
      <c r="J1762"/>
      <c r="K1762"/>
      <c r="L1762"/>
      <c r="M1762"/>
    </row>
    <row r="1763" spans="2:13" s="49" customFormat="1" ht="13.95" customHeight="1" x14ac:dyDescent="0.3">
      <c r="B1763" s="53"/>
      <c r="C1763" s="57"/>
      <c r="D1763"/>
      <c r="E1763" s="53"/>
      <c r="F1763"/>
      <c r="G1763"/>
      <c r="H1763"/>
      <c r="I1763"/>
      <c r="J1763"/>
      <c r="K1763"/>
      <c r="L1763"/>
      <c r="M1763"/>
    </row>
    <row r="1764" spans="2:13" s="49" customFormat="1" ht="13.95" customHeight="1" x14ac:dyDescent="0.3">
      <c r="B1764" s="53"/>
      <c r="C1764" s="57"/>
      <c r="D1764"/>
      <c r="E1764" s="53"/>
      <c r="F1764"/>
      <c r="G1764"/>
      <c r="H1764"/>
      <c r="I1764"/>
      <c r="J1764"/>
      <c r="K1764"/>
      <c r="L1764"/>
      <c r="M1764"/>
    </row>
    <row r="1765" spans="2:13" s="49" customFormat="1" ht="13.95" customHeight="1" x14ac:dyDescent="0.3">
      <c r="B1765" s="53"/>
      <c r="C1765" s="57"/>
      <c r="D1765"/>
      <c r="E1765" s="53"/>
      <c r="F1765"/>
      <c r="G1765"/>
      <c r="H1765"/>
      <c r="I1765"/>
      <c r="J1765"/>
      <c r="K1765"/>
      <c r="L1765"/>
      <c r="M1765"/>
    </row>
    <row r="1766" spans="2:13" s="49" customFormat="1" ht="13.95" customHeight="1" x14ac:dyDescent="0.3">
      <c r="B1766" s="53"/>
      <c r="C1766" s="57"/>
      <c r="D1766"/>
      <c r="E1766" s="53"/>
      <c r="F1766"/>
      <c r="G1766"/>
      <c r="H1766"/>
      <c r="I1766"/>
      <c r="J1766"/>
      <c r="K1766"/>
      <c r="L1766"/>
      <c r="M1766"/>
    </row>
    <row r="1767" spans="2:13" s="49" customFormat="1" ht="13.95" customHeight="1" x14ac:dyDescent="0.3">
      <c r="B1767" s="53"/>
      <c r="C1767" s="57"/>
      <c r="D1767"/>
      <c r="E1767" s="53"/>
      <c r="F1767"/>
      <c r="G1767"/>
      <c r="H1767"/>
      <c r="I1767"/>
      <c r="J1767"/>
      <c r="K1767"/>
      <c r="L1767"/>
      <c r="M1767"/>
    </row>
    <row r="1768" spans="2:13" s="49" customFormat="1" ht="13.95" customHeight="1" x14ac:dyDescent="0.3">
      <c r="B1768" s="53"/>
      <c r="C1768" s="57"/>
      <c r="D1768"/>
      <c r="E1768" s="53"/>
      <c r="F1768"/>
      <c r="G1768"/>
      <c r="H1768"/>
      <c r="I1768"/>
      <c r="J1768"/>
      <c r="K1768"/>
      <c r="L1768"/>
      <c r="M1768"/>
    </row>
    <row r="1769" spans="2:13" s="49" customFormat="1" ht="13.95" customHeight="1" x14ac:dyDescent="0.3">
      <c r="B1769" s="53"/>
      <c r="C1769" s="57"/>
      <c r="D1769"/>
      <c r="E1769" s="53"/>
      <c r="F1769"/>
      <c r="G1769"/>
      <c r="H1769"/>
      <c r="I1769"/>
      <c r="J1769"/>
      <c r="K1769"/>
      <c r="L1769"/>
      <c r="M1769"/>
    </row>
    <row r="1770" spans="2:13" s="49" customFormat="1" ht="13.95" customHeight="1" x14ac:dyDescent="0.3">
      <c r="B1770" s="53"/>
      <c r="C1770" s="57"/>
      <c r="D1770"/>
      <c r="E1770" s="53"/>
      <c r="F1770"/>
      <c r="G1770"/>
      <c r="H1770"/>
      <c r="I1770"/>
      <c r="J1770"/>
      <c r="K1770"/>
      <c r="L1770"/>
      <c r="M1770"/>
    </row>
    <row r="1771" spans="2:13" s="49" customFormat="1" ht="13.95" customHeight="1" x14ac:dyDescent="0.3">
      <c r="B1771" s="53"/>
      <c r="C1771" s="57"/>
      <c r="D1771"/>
      <c r="E1771" s="53"/>
      <c r="F1771"/>
      <c r="G1771"/>
      <c r="H1771"/>
      <c r="I1771"/>
      <c r="J1771"/>
      <c r="K1771"/>
      <c r="L1771"/>
      <c r="M1771"/>
    </row>
    <row r="1772" spans="2:13" s="49" customFormat="1" ht="13.95" customHeight="1" x14ac:dyDescent="0.3">
      <c r="B1772" s="53"/>
      <c r="C1772" s="57"/>
      <c r="D1772"/>
      <c r="E1772" s="53"/>
      <c r="F1772"/>
      <c r="G1772"/>
      <c r="H1772"/>
      <c r="I1772"/>
      <c r="J1772"/>
      <c r="K1772"/>
      <c r="L1772"/>
      <c r="M1772"/>
    </row>
    <row r="1773" spans="2:13" s="49" customFormat="1" ht="13.95" customHeight="1" x14ac:dyDescent="0.3">
      <c r="B1773" s="53"/>
      <c r="C1773" s="57"/>
      <c r="D1773"/>
      <c r="E1773" s="53"/>
      <c r="F1773"/>
      <c r="G1773"/>
      <c r="H1773"/>
      <c r="I1773"/>
      <c r="J1773"/>
      <c r="K1773"/>
      <c r="L1773"/>
      <c r="M1773"/>
    </row>
    <row r="1774" spans="2:13" s="49" customFormat="1" ht="13.95" customHeight="1" x14ac:dyDescent="0.3">
      <c r="B1774" s="53"/>
      <c r="C1774" s="57"/>
      <c r="D1774"/>
      <c r="E1774" s="53"/>
      <c r="F1774"/>
      <c r="G1774"/>
      <c r="H1774"/>
      <c r="I1774"/>
      <c r="J1774"/>
      <c r="K1774"/>
      <c r="L1774"/>
      <c r="M1774"/>
    </row>
    <row r="1775" spans="2:13" s="49" customFormat="1" ht="13.95" customHeight="1" x14ac:dyDescent="0.3">
      <c r="B1775" s="53"/>
      <c r="C1775" s="57"/>
      <c r="D1775"/>
      <c r="E1775" s="53"/>
      <c r="F1775"/>
      <c r="G1775"/>
      <c r="H1775"/>
      <c r="I1775"/>
      <c r="J1775"/>
      <c r="K1775"/>
      <c r="L1775"/>
      <c r="M1775"/>
    </row>
    <row r="1776" spans="2:13" s="49" customFormat="1" ht="13.95" customHeight="1" x14ac:dyDescent="0.3">
      <c r="B1776" s="53"/>
      <c r="C1776" s="57"/>
      <c r="D1776"/>
      <c r="E1776" s="53"/>
      <c r="F1776"/>
      <c r="G1776"/>
      <c r="H1776"/>
      <c r="I1776"/>
      <c r="J1776"/>
      <c r="K1776"/>
      <c r="L1776"/>
      <c r="M1776"/>
    </row>
    <row r="1777" spans="2:13" s="49" customFormat="1" ht="13.95" customHeight="1" x14ac:dyDescent="0.3">
      <c r="B1777" s="53"/>
      <c r="C1777" s="57"/>
      <c r="D1777"/>
      <c r="E1777" s="53"/>
      <c r="F1777"/>
      <c r="G1777"/>
      <c r="H1777"/>
      <c r="I1777"/>
      <c r="J1777"/>
      <c r="K1777"/>
      <c r="L1777"/>
      <c r="M1777"/>
    </row>
    <row r="1778" spans="2:13" s="49" customFormat="1" ht="13.95" customHeight="1" x14ac:dyDescent="0.3">
      <c r="B1778" s="53"/>
      <c r="C1778" s="57"/>
      <c r="D1778"/>
      <c r="E1778" s="53"/>
      <c r="F1778"/>
      <c r="G1778"/>
      <c r="H1778"/>
      <c r="I1778"/>
      <c r="J1778"/>
      <c r="K1778"/>
      <c r="L1778"/>
      <c r="M1778"/>
    </row>
    <row r="1779" spans="2:13" s="49" customFormat="1" ht="13.95" customHeight="1" x14ac:dyDescent="0.3">
      <c r="B1779" s="53"/>
      <c r="C1779" s="57"/>
      <c r="D1779"/>
      <c r="E1779" s="53"/>
      <c r="F1779"/>
      <c r="G1779"/>
      <c r="H1779"/>
      <c r="I1779"/>
      <c r="J1779"/>
      <c r="K1779"/>
      <c r="L1779"/>
      <c r="M1779"/>
    </row>
    <row r="1780" spans="2:13" s="49" customFormat="1" ht="13.95" customHeight="1" x14ac:dyDescent="0.3">
      <c r="B1780" s="53"/>
      <c r="C1780" s="57"/>
      <c r="D1780"/>
      <c r="E1780" s="53"/>
      <c r="F1780"/>
      <c r="G1780"/>
      <c r="H1780"/>
      <c r="I1780"/>
      <c r="J1780"/>
      <c r="K1780"/>
      <c r="L1780"/>
      <c r="M1780"/>
    </row>
    <row r="1781" spans="2:13" s="49" customFormat="1" ht="13.95" customHeight="1" x14ac:dyDescent="0.3">
      <c r="B1781" s="53"/>
      <c r="C1781" s="57"/>
      <c r="D1781"/>
      <c r="E1781" s="53"/>
      <c r="F1781"/>
      <c r="G1781"/>
      <c r="H1781"/>
      <c r="I1781"/>
      <c r="J1781"/>
      <c r="K1781"/>
      <c r="L1781"/>
      <c r="M1781"/>
    </row>
    <row r="1782" spans="2:13" s="49" customFormat="1" ht="13.95" customHeight="1" x14ac:dyDescent="0.3">
      <c r="B1782" s="53"/>
      <c r="C1782" s="57"/>
      <c r="D1782"/>
      <c r="E1782" s="53"/>
      <c r="F1782"/>
      <c r="G1782"/>
      <c r="H1782"/>
      <c r="I1782"/>
      <c r="J1782"/>
      <c r="K1782"/>
      <c r="L1782"/>
      <c r="M1782"/>
    </row>
    <row r="1783" spans="2:13" s="49" customFormat="1" ht="13.95" customHeight="1" x14ac:dyDescent="0.3">
      <c r="B1783" s="53"/>
      <c r="C1783" s="57"/>
      <c r="D1783"/>
      <c r="E1783" s="53"/>
      <c r="F1783"/>
      <c r="G1783"/>
      <c r="H1783"/>
      <c r="I1783"/>
      <c r="J1783"/>
      <c r="K1783"/>
      <c r="L1783"/>
      <c r="M1783"/>
    </row>
    <row r="1784" spans="2:13" s="49" customFormat="1" ht="13.95" customHeight="1" x14ac:dyDescent="0.3">
      <c r="B1784" s="53"/>
      <c r="C1784" s="57"/>
      <c r="D1784"/>
      <c r="E1784" s="53"/>
      <c r="F1784"/>
      <c r="G1784"/>
      <c r="H1784"/>
      <c r="I1784"/>
      <c r="J1784"/>
      <c r="K1784"/>
      <c r="L1784"/>
      <c r="M1784"/>
    </row>
    <row r="1785" spans="2:13" s="49" customFormat="1" ht="13.95" customHeight="1" x14ac:dyDescent="0.3">
      <c r="B1785" s="53"/>
      <c r="C1785" s="57"/>
      <c r="D1785"/>
      <c r="E1785" s="53"/>
      <c r="F1785"/>
      <c r="G1785"/>
      <c r="H1785"/>
      <c r="I1785"/>
      <c r="J1785"/>
      <c r="K1785"/>
      <c r="L1785"/>
      <c r="M1785"/>
    </row>
    <row r="1786" spans="2:13" s="49" customFormat="1" ht="13.95" customHeight="1" x14ac:dyDescent="0.3">
      <c r="B1786" s="53"/>
      <c r="C1786" s="57"/>
      <c r="D1786"/>
      <c r="E1786" s="53"/>
      <c r="F1786"/>
      <c r="G1786"/>
      <c r="H1786"/>
      <c r="I1786"/>
      <c r="J1786"/>
      <c r="K1786"/>
      <c r="L1786"/>
      <c r="M1786"/>
    </row>
    <row r="1787" spans="2:13" s="49" customFormat="1" ht="13.95" customHeight="1" x14ac:dyDescent="0.3">
      <c r="B1787" s="53"/>
      <c r="C1787" s="57"/>
      <c r="D1787"/>
      <c r="E1787" s="53"/>
      <c r="F1787"/>
      <c r="G1787"/>
      <c r="H1787"/>
      <c r="I1787"/>
      <c r="J1787"/>
      <c r="K1787"/>
      <c r="L1787"/>
      <c r="M1787"/>
    </row>
    <row r="1788" spans="2:13" s="49" customFormat="1" ht="13.95" customHeight="1" x14ac:dyDescent="0.3">
      <c r="B1788" s="53"/>
      <c r="C1788" s="57"/>
      <c r="D1788"/>
      <c r="E1788" s="53"/>
      <c r="F1788"/>
      <c r="G1788"/>
      <c r="H1788"/>
      <c r="I1788"/>
      <c r="J1788"/>
      <c r="K1788"/>
      <c r="L1788"/>
      <c r="M1788"/>
    </row>
    <row r="1789" spans="2:13" s="49" customFormat="1" ht="13.95" customHeight="1" x14ac:dyDescent="0.3">
      <c r="B1789" s="53"/>
      <c r="C1789" s="57"/>
      <c r="D1789"/>
      <c r="E1789" s="53"/>
      <c r="F1789"/>
      <c r="G1789"/>
      <c r="H1789"/>
      <c r="I1789"/>
      <c r="J1789"/>
      <c r="K1789"/>
      <c r="L1789"/>
      <c r="M1789"/>
    </row>
    <row r="1790" spans="2:13" s="49" customFormat="1" ht="13.95" customHeight="1" x14ac:dyDescent="0.3">
      <c r="B1790" s="53"/>
      <c r="C1790" s="57"/>
      <c r="D1790"/>
      <c r="E1790" s="53"/>
      <c r="F1790"/>
      <c r="G1790"/>
      <c r="H1790"/>
      <c r="I1790"/>
      <c r="J1790"/>
      <c r="K1790"/>
      <c r="L1790"/>
      <c r="M1790"/>
    </row>
    <row r="1791" spans="2:13" s="49" customFormat="1" ht="13.95" customHeight="1" x14ac:dyDescent="0.3">
      <c r="B1791" s="53"/>
      <c r="C1791" s="57"/>
      <c r="D1791"/>
      <c r="E1791" s="53"/>
      <c r="F1791"/>
      <c r="G1791"/>
      <c r="H1791"/>
      <c r="I1791"/>
      <c r="J1791"/>
      <c r="K1791"/>
      <c r="L1791"/>
      <c r="M1791"/>
    </row>
    <row r="1792" spans="2:13" s="49" customFormat="1" ht="13.95" customHeight="1" x14ac:dyDescent="0.3">
      <c r="B1792" s="53"/>
      <c r="C1792" s="57"/>
      <c r="D1792"/>
      <c r="E1792" s="53"/>
      <c r="F1792"/>
      <c r="G1792"/>
      <c r="H1792"/>
      <c r="I1792"/>
      <c r="J1792"/>
      <c r="K1792"/>
      <c r="L1792"/>
      <c r="M1792"/>
    </row>
    <row r="1793" spans="2:13" s="49" customFormat="1" ht="13.95" customHeight="1" x14ac:dyDescent="0.3">
      <c r="B1793" s="53"/>
      <c r="C1793" s="57"/>
      <c r="D1793"/>
      <c r="E1793" s="53"/>
      <c r="F1793"/>
      <c r="G1793"/>
      <c r="H1793"/>
      <c r="I1793"/>
      <c r="J1793"/>
      <c r="K1793"/>
      <c r="L1793"/>
      <c r="M1793"/>
    </row>
    <row r="1794" spans="2:13" s="49" customFormat="1" ht="13.95" customHeight="1" x14ac:dyDescent="0.3">
      <c r="B1794" s="53"/>
      <c r="C1794" s="57"/>
      <c r="D1794"/>
      <c r="E1794" s="53"/>
      <c r="F1794"/>
      <c r="G1794"/>
      <c r="H1794"/>
      <c r="I1794"/>
      <c r="J1794"/>
      <c r="K1794"/>
      <c r="L1794"/>
      <c r="M1794"/>
    </row>
    <row r="1795" spans="2:13" s="49" customFormat="1" ht="13.95" customHeight="1" x14ac:dyDescent="0.3">
      <c r="B1795" s="53"/>
      <c r="C1795" s="57"/>
      <c r="D1795"/>
      <c r="E1795" s="53"/>
      <c r="F1795"/>
      <c r="G1795"/>
      <c r="H1795"/>
      <c r="I1795"/>
      <c r="J1795"/>
      <c r="K1795"/>
      <c r="L1795"/>
      <c r="M1795"/>
    </row>
    <row r="1796" spans="2:13" s="49" customFormat="1" ht="13.95" customHeight="1" x14ac:dyDescent="0.3">
      <c r="B1796" s="53"/>
      <c r="C1796" s="57"/>
      <c r="D1796"/>
      <c r="E1796" s="53"/>
      <c r="F1796"/>
      <c r="G1796"/>
      <c r="H1796"/>
      <c r="I1796"/>
      <c r="J1796"/>
      <c r="K1796"/>
      <c r="L1796"/>
      <c r="M1796"/>
    </row>
    <row r="1797" spans="2:13" s="49" customFormat="1" ht="13.95" customHeight="1" x14ac:dyDescent="0.3">
      <c r="B1797" s="53"/>
      <c r="C1797" s="57"/>
      <c r="D1797"/>
      <c r="E1797" s="53"/>
      <c r="F1797"/>
      <c r="G1797"/>
      <c r="H1797"/>
      <c r="I1797"/>
      <c r="J1797"/>
      <c r="K1797"/>
      <c r="L1797"/>
      <c r="M1797"/>
    </row>
    <row r="1798" spans="2:13" s="49" customFormat="1" ht="13.95" customHeight="1" x14ac:dyDescent="0.3">
      <c r="B1798" s="53"/>
      <c r="C1798" s="57"/>
      <c r="D1798"/>
      <c r="E1798" s="53"/>
      <c r="F1798"/>
      <c r="G1798"/>
      <c r="H1798"/>
      <c r="I1798"/>
      <c r="J1798"/>
      <c r="K1798"/>
      <c r="L1798"/>
      <c r="M1798"/>
    </row>
    <row r="1799" spans="2:13" s="49" customFormat="1" ht="13.95" customHeight="1" x14ac:dyDescent="0.3">
      <c r="B1799" s="53"/>
      <c r="C1799" s="57"/>
      <c r="D1799"/>
      <c r="E1799" s="53"/>
      <c r="F1799"/>
      <c r="G1799"/>
      <c r="H1799"/>
      <c r="I1799"/>
      <c r="J1799"/>
      <c r="K1799"/>
      <c r="L1799"/>
      <c r="M1799"/>
    </row>
    <row r="1800" spans="2:13" s="49" customFormat="1" ht="13.95" customHeight="1" x14ac:dyDescent="0.3">
      <c r="B1800" s="53"/>
      <c r="C1800" s="57"/>
      <c r="D1800"/>
      <c r="E1800" s="53"/>
      <c r="F1800"/>
      <c r="G1800"/>
      <c r="H1800"/>
      <c r="I1800"/>
      <c r="J1800"/>
      <c r="K1800"/>
      <c r="L1800"/>
      <c r="M1800"/>
    </row>
    <row r="1801" spans="2:13" s="49" customFormat="1" ht="13.95" customHeight="1" x14ac:dyDescent="0.3">
      <c r="B1801" s="53"/>
      <c r="C1801" s="57"/>
      <c r="D1801"/>
      <c r="E1801" s="53"/>
      <c r="F1801"/>
      <c r="G1801"/>
      <c r="H1801"/>
      <c r="I1801"/>
      <c r="J1801"/>
      <c r="K1801"/>
      <c r="L1801"/>
      <c r="M1801"/>
    </row>
    <row r="1802" spans="2:13" s="49" customFormat="1" ht="13.95" customHeight="1" x14ac:dyDescent="0.3">
      <c r="B1802" s="53"/>
      <c r="C1802" s="57"/>
      <c r="D1802"/>
      <c r="E1802" s="53"/>
      <c r="F1802"/>
      <c r="G1802"/>
      <c r="H1802"/>
      <c r="I1802"/>
      <c r="J1802"/>
      <c r="K1802"/>
      <c r="L1802"/>
      <c r="M1802"/>
    </row>
    <row r="1803" spans="2:13" s="49" customFormat="1" ht="13.95" customHeight="1" x14ac:dyDescent="0.3">
      <c r="B1803" s="53"/>
      <c r="C1803" s="57"/>
      <c r="D1803"/>
      <c r="E1803" s="53"/>
      <c r="F1803"/>
      <c r="G1803"/>
      <c r="H1803"/>
      <c r="I1803"/>
      <c r="J1803"/>
      <c r="K1803"/>
      <c r="L1803"/>
      <c r="M1803"/>
    </row>
    <row r="1804" spans="2:13" s="49" customFormat="1" ht="13.95" customHeight="1" x14ac:dyDescent="0.3">
      <c r="B1804" s="53"/>
      <c r="C1804" s="57"/>
      <c r="D1804"/>
      <c r="E1804" s="53"/>
      <c r="F1804"/>
      <c r="G1804"/>
      <c r="H1804"/>
      <c r="I1804"/>
      <c r="J1804"/>
      <c r="K1804"/>
      <c r="L1804"/>
      <c r="M1804"/>
    </row>
    <row r="1805" spans="2:13" s="49" customFormat="1" ht="13.95" customHeight="1" x14ac:dyDescent="0.3">
      <c r="B1805" s="53"/>
      <c r="C1805" s="57"/>
      <c r="D1805"/>
      <c r="E1805" s="53"/>
      <c r="F1805"/>
      <c r="G1805"/>
      <c r="H1805"/>
      <c r="I1805"/>
      <c r="J1805"/>
      <c r="K1805"/>
      <c r="L1805"/>
      <c r="M1805"/>
    </row>
    <row r="1806" spans="2:13" s="49" customFormat="1" ht="13.95" customHeight="1" x14ac:dyDescent="0.3">
      <c r="B1806" s="53"/>
      <c r="C1806" s="57"/>
      <c r="D1806"/>
      <c r="E1806" s="53"/>
      <c r="F1806"/>
      <c r="G1806"/>
      <c r="H1806"/>
      <c r="I1806"/>
      <c r="J1806"/>
      <c r="K1806"/>
      <c r="L1806"/>
      <c r="M1806"/>
    </row>
    <row r="1807" spans="2:13" s="49" customFormat="1" ht="13.95" customHeight="1" x14ac:dyDescent="0.3">
      <c r="B1807" s="53"/>
      <c r="C1807" s="57"/>
      <c r="D1807"/>
      <c r="E1807" s="53"/>
      <c r="F1807"/>
      <c r="G1807"/>
      <c r="H1807"/>
      <c r="I1807"/>
      <c r="J1807"/>
      <c r="K1807"/>
      <c r="L1807"/>
      <c r="M1807"/>
    </row>
    <row r="1808" spans="2:13" s="49" customFormat="1" ht="13.95" customHeight="1" x14ac:dyDescent="0.3">
      <c r="B1808" s="53"/>
      <c r="C1808" s="57"/>
      <c r="D1808"/>
      <c r="E1808" s="53"/>
      <c r="F1808"/>
      <c r="G1808"/>
      <c r="H1808"/>
      <c r="I1808"/>
      <c r="J1808"/>
      <c r="K1808"/>
      <c r="L1808"/>
      <c r="M1808"/>
    </row>
    <row r="1809" spans="2:13" s="49" customFormat="1" ht="13.95" customHeight="1" x14ac:dyDescent="0.3">
      <c r="B1809" s="53"/>
      <c r="C1809" s="57"/>
      <c r="D1809"/>
      <c r="E1809" s="53"/>
      <c r="F1809"/>
      <c r="G1809"/>
      <c r="H1809"/>
      <c r="I1809"/>
      <c r="J1809"/>
      <c r="K1809"/>
      <c r="L1809"/>
      <c r="M1809"/>
    </row>
    <row r="1810" spans="2:13" s="49" customFormat="1" ht="13.95" customHeight="1" x14ac:dyDescent="0.3">
      <c r="B1810" s="53"/>
      <c r="C1810" s="57"/>
      <c r="D1810"/>
      <c r="E1810" s="53"/>
      <c r="F1810"/>
      <c r="G1810"/>
      <c r="H1810"/>
      <c r="I1810"/>
      <c r="J1810"/>
      <c r="K1810"/>
      <c r="L1810"/>
      <c r="M1810"/>
    </row>
    <row r="1811" spans="2:13" s="49" customFormat="1" ht="13.95" customHeight="1" x14ac:dyDescent="0.3">
      <c r="B1811" s="53"/>
      <c r="C1811" s="57"/>
      <c r="D1811"/>
      <c r="E1811" s="53"/>
      <c r="F1811"/>
      <c r="G1811"/>
      <c r="H1811"/>
      <c r="I1811"/>
      <c r="J1811"/>
      <c r="K1811"/>
      <c r="L1811"/>
      <c r="M1811"/>
    </row>
    <row r="1812" spans="2:13" s="49" customFormat="1" ht="13.95" customHeight="1" x14ac:dyDescent="0.3">
      <c r="B1812" s="53"/>
      <c r="C1812" s="57"/>
      <c r="D1812"/>
      <c r="E1812" s="53"/>
      <c r="F1812"/>
      <c r="G1812"/>
      <c r="H1812"/>
      <c r="I1812"/>
      <c r="J1812"/>
      <c r="K1812"/>
      <c r="L1812"/>
      <c r="M1812"/>
    </row>
    <row r="1813" spans="2:13" s="49" customFormat="1" ht="13.95" customHeight="1" x14ac:dyDescent="0.3">
      <c r="B1813" s="53"/>
      <c r="C1813" s="57"/>
      <c r="D1813"/>
      <c r="E1813" s="53"/>
      <c r="F1813"/>
      <c r="G1813"/>
      <c r="H1813"/>
      <c r="I1813"/>
      <c r="J1813"/>
      <c r="K1813"/>
      <c r="L1813"/>
      <c r="M1813"/>
    </row>
    <row r="1814" spans="2:13" s="49" customFormat="1" ht="13.95" customHeight="1" x14ac:dyDescent="0.3">
      <c r="B1814" s="53"/>
      <c r="C1814" s="57"/>
      <c r="D1814"/>
      <c r="E1814" s="53"/>
      <c r="F1814"/>
      <c r="G1814"/>
      <c r="H1814"/>
      <c r="I1814"/>
      <c r="J1814"/>
      <c r="K1814"/>
      <c r="L1814"/>
      <c r="M1814"/>
    </row>
    <row r="1815" spans="2:13" s="49" customFormat="1" ht="13.95" customHeight="1" x14ac:dyDescent="0.3">
      <c r="B1815" s="53"/>
      <c r="C1815" s="57"/>
      <c r="D1815"/>
      <c r="E1815" s="53"/>
      <c r="F1815"/>
      <c r="G1815"/>
      <c r="H1815"/>
      <c r="I1815"/>
      <c r="J1815"/>
      <c r="K1815"/>
      <c r="L1815"/>
      <c r="M1815"/>
    </row>
    <row r="1816" spans="2:13" s="49" customFormat="1" ht="13.95" customHeight="1" x14ac:dyDescent="0.3">
      <c r="B1816" s="53"/>
      <c r="C1816" s="57"/>
      <c r="D1816"/>
      <c r="E1816" s="53"/>
      <c r="F1816"/>
      <c r="G1816"/>
      <c r="H1816"/>
      <c r="I1816"/>
      <c r="J1816"/>
      <c r="K1816"/>
      <c r="L1816"/>
      <c r="M1816"/>
    </row>
    <row r="1817" spans="2:13" s="49" customFormat="1" ht="13.95" customHeight="1" x14ac:dyDescent="0.3">
      <c r="B1817" s="53"/>
      <c r="C1817" s="57"/>
      <c r="D1817"/>
      <c r="E1817" s="53"/>
      <c r="F1817"/>
      <c r="G1817"/>
      <c r="H1817"/>
      <c r="I1817"/>
      <c r="J1817"/>
      <c r="K1817"/>
      <c r="L1817"/>
      <c r="M1817"/>
    </row>
    <row r="1818" spans="2:13" s="49" customFormat="1" ht="13.95" customHeight="1" x14ac:dyDescent="0.3">
      <c r="B1818" s="53"/>
      <c r="C1818" s="57"/>
      <c r="D1818"/>
      <c r="E1818" s="53"/>
      <c r="F1818"/>
      <c r="G1818"/>
      <c r="H1818"/>
      <c r="I1818"/>
      <c r="J1818"/>
      <c r="K1818"/>
      <c r="L1818"/>
      <c r="M1818"/>
    </row>
    <row r="1819" spans="2:13" s="49" customFormat="1" ht="13.95" customHeight="1" x14ac:dyDescent="0.3">
      <c r="B1819" s="53"/>
      <c r="C1819" s="57"/>
      <c r="D1819"/>
      <c r="E1819" s="53"/>
      <c r="F1819"/>
      <c r="G1819"/>
      <c r="H1819"/>
      <c r="I1819"/>
      <c r="J1819"/>
      <c r="K1819"/>
      <c r="L1819"/>
      <c r="M1819"/>
    </row>
    <row r="1820" spans="2:13" s="49" customFormat="1" ht="13.95" customHeight="1" x14ac:dyDescent="0.3">
      <c r="B1820" s="53"/>
      <c r="C1820" s="57"/>
      <c r="D1820"/>
      <c r="E1820" s="53"/>
      <c r="F1820"/>
      <c r="G1820"/>
      <c r="H1820"/>
      <c r="I1820"/>
      <c r="J1820"/>
      <c r="K1820"/>
      <c r="L1820"/>
      <c r="M1820"/>
    </row>
    <row r="1821" spans="2:13" s="49" customFormat="1" ht="13.95" customHeight="1" x14ac:dyDescent="0.3">
      <c r="B1821" s="53"/>
      <c r="C1821" s="57"/>
      <c r="D1821"/>
      <c r="E1821" s="53"/>
      <c r="F1821"/>
      <c r="G1821"/>
      <c r="H1821"/>
      <c r="I1821"/>
      <c r="J1821"/>
      <c r="K1821"/>
      <c r="L1821"/>
      <c r="M1821"/>
    </row>
    <row r="1822" spans="2:13" s="49" customFormat="1" ht="13.95" customHeight="1" x14ac:dyDescent="0.3">
      <c r="B1822" s="53"/>
      <c r="C1822" s="57"/>
      <c r="D1822"/>
      <c r="E1822" s="53"/>
      <c r="F1822"/>
      <c r="G1822"/>
      <c r="H1822"/>
      <c r="I1822"/>
      <c r="J1822"/>
      <c r="K1822"/>
      <c r="L1822"/>
      <c r="M1822"/>
    </row>
    <row r="1823" spans="2:13" s="49" customFormat="1" ht="13.95" customHeight="1" x14ac:dyDescent="0.3">
      <c r="B1823" s="53"/>
      <c r="C1823" s="57"/>
      <c r="D1823"/>
      <c r="E1823" s="53"/>
      <c r="F1823"/>
      <c r="G1823"/>
      <c r="H1823"/>
      <c r="I1823"/>
      <c r="J1823"/>
      <c r="K1823"/>
      <c r="L1823"/>
      <c r="M1823"/>
    </row>
    <row r="1824" spans="2:13" s="49" customFormat="1" ht="13.95" customHeight="1" x14ac:dyDescent="0.3">
      <c r="B1824" s="53"/>
      <c r="C1824" s="57"/>
      <c r="D1824"/>
      <c r="E1824" s="53"/>
      <c r="F1824"/>
      <c r="G1824"/>
      <c r="H1824"/>
      <c r="I1824"/>
      <c r="J1824"/>
      <c r="K1824"/>
      <c r="L1824"/>
      <c r="M1824"/>
    </row>
    <row r="1825" spans="2:13" s="49" customFormat="1" ht="13.95" customHeight="1" x14ac:dyDescent="0.3">
      <c r="B1825" s="53"/>
      <c r="C1825" s="57"/>
      <c r="D1825"/>
      <c r="E1825" s="53"/>
      <c r="F1825"/>
      <c r="G1825"/>
      <c r="H1825"/>
      <c r="I1825"/>
      <c r="J1825"/>
      <c r="K1825"/>
      <c r="L1825"/>
      <c r="M1825"/>
    </row>
    <row r="1826" spans="2:13" s="49" customFormat="1" ht="13.95" customHeight="1" x14ac:dyDescent="0.3">
      <c r="B1826" s="53"/>
      <c r="C1826" s="57"/>
      <c r="D1826"/>
      <c r="E1826" s="53"/>
      <c r="F1826"/>
      <c r="G1826"/>
      <c r="H1826"/>
      <c r="I1826"/>
      <c r="J1826"/>
      <c r="K1826"/>
      <c r="L1826"/>
      <c r="M1826"/>
    </row>
    <row r="1827" spans="2:13" s="49" customFormat="1" ht="13.95" customHeight="1" x14ac:dyDescent="0.3">
      <c r="B1827" s="53"/>
      <c r="C1827" s="57"/>
      <c r="D1827"/>
      <c r="E1827" s="53"/>
      <c r="F1827"/>
      <c r="G1827"/>
      <c r="H1827"/>
      <c r="I1827"/>
      <c r="J1827"/>
      <c r="K1827"/>
      <c r="L1827"/>
      <c r="M1827"/>
    </row>
    <row r="1828" spans="2:13" s="49" customFormat="1" ht="13.95" customHeight="1" x14ac:dyDescent="0.3">
      <c r="B1828" s="53"/>
      <c r="C1828" s="57"/>
      <c r="D1828"/>
      <c r="E1828" s="53"/>
      <c r="F1828"/>
      <c r="G1828"/>
      <c r="H1828"/>
      <c r="I1828"/>
      <c r="J1828"/>
      <c r="K1828"/>
      <c r="L1828"/>
      <c r="M1828"/>
    </row>
    <row r="1829" spans="2:13" s="49" customFormat="1" ht="13.95" customHeight="1" x14ac:dyDescent="0.3">
      <c r="B1829" s="53"/>
      <c r="C1829" s="57"/>
      <c r="D1829"/>
      <c r="E1829" s="53"/>
      <c r="F1829"/>
      <c r="G1829"/>
      <c r="H1829"/>
      <c r="I1829"/>
      <c r="J1829"/>
      <c r="K1829"/>
      <c r="L1829"/>
      <c r="M1829"/>
    </row>
    <row r="1830" spans="2:13" s="49" customFormat="1" ht="13.95" customHeight="1" x14ac:dyDescent="0.3">
      <c r="B1830" s="53"/>
      <c r="C1830" s="57"/>
      <c r="D1830"/>
      <c r="E1830" s="53"/>
      <c r="F1830"/>
      <c r="G1830"/>
      <c r="H1830"/>
      <c r="I1830"/>
      <c r="J1830"/>
      <c r="K1830"/>
      <c r="L1830"/>
      <c r="M1830"/>
    </row>
    <row r="1831" spans="2:13" s="49" customFormat="1" ht="13.95" customHeight="1" x14ac:dyDescent="0.3">
      <c r="B1831" s="53"/>
      <c r="C1831" s="57"/>
      <c r="D1831"/>
      <c r="E1831" s="53"/>
      <c r="F1831"/>
      <c r="G1831"/>
      <c r="H1831"/>
      <c r="I1831"/>
      <c r="J1831"/>
      <c r="K1831"/>
      <c r="L1831"/>
      <c r="M1831"/>
    </row>
    <row r="1832" spans="2:13" s="49" customFormat="1" ht="13.95" customHeight="1" x14ac:dyDescent="0.3">
      <c r="B1832" s="53"/>
      <c r="C1832" s="57"/>
      <c r="D1832"/>
      <c r="E1832" s="53"/>
      <c r="F1832"/>
      <c r="G1832"/>
      <c r="H1832"/>
      <c r="I1832"/>
      <c r="J1832"/>
      <c r="K1832"/>
      <c r="L1832"/>
      <c r="M1832"/>
    </row>
    <row r="1833" spans="2:13" s="49" customFormat="1" ht="13.95" customHeight="1" x14ac:dyDescent="0.3">
      <c r="B1833" s="53"/>
      <c r="C1833" s="57"/>
      <c r="D1833"/>
      <c r="E1833" s="53"/>
      <c r="F1833"/>
      <c r="G1833"/>
      <c r="H1833"/>
      <c r="I1833"/>
      <c r="J1833"/>
      <c r="K1833"/>
      <c r="L1833"/>
      <c r="M1833"/>
    </row>
    <row r="1834" spans="2:13" s="49" customFormat="1" ht="13.95" customHeight="1" x14ac:dyDescent="0.3">
      <c r="B1834" s="53"/>
      <c r="C1834" s="57"/>
      <c r="D1834"/>
      <c r="E1834" s="53"/>
      <c r="F1834"/>
      <c r="G1834"/>
      <c r="H1834"/>
      <c r="I1834"/>
      <c r="J1834"/>
      <c r="K1834"/>
      <c r="L1834"/>
      <c r="M1834"/>
    </row>
    <row r="1835" spans="2:13" s="49" customFormat="1" ht="13.95" customHeight="1" x14ac:dyDescent="0.3">
      <c r="B1835" s="53"/>
      <c r="C1835" s="57"/>
      <c r="D1835"/>
      <c r="E1835" s="53"/>
      <c r="F1835"/>
      <c r="G1835"/>
      <c r="H1835"/>
      <c r="I1835"/>
      <c r="J1835"/>
      <c r="K1835"/>
      <c r="L1835"/>
      <c r="M1835"/>
    </row>
    <row r="1836" spans="2:13" s="49" customFormat="1" ht="13.95" customHeight="1" x14ac:dyDescent="0.3">
      <c r="B1836" s="53"/>
      <c r="C1836" s="57"/>
      <c r="D1836"/>
      <c r="E1836" s="53"/>
      <c r="F1836"/>
      <c r="G1836"/>
      <c r="H1836"/>
      <c r="I1836"/>
      <c r="J1836"/>
      <c r="K1836"/>
      <c r="L1836"/>
      <c r="M1836"/>
    </row>
    <row r="1837" spans="2:13" s="49" customFormat="1" ht="13.95" customHeight="1" x14ac:dyDescent="0.3">
      <c r="B1837" s="53"/>
      <c r="C1837" s="57"/>
      <c r="D1837"/>
      <c r="E1837" s="53"/>
      <c r="F1837"/>
      <c r="G1837"/>
      <c r="H1837"/>
      <c r="I1837"/>
      <c r="J1837"/>
      <c r="K1837"/>
      <c r="L1837"/>
      <c r="M1837"/>
    </row>
    <row r="1838" spans="2:13" s="49" customFormat="1" ht="13.95" customHeight="1" x14ac:dyDescent="0.3">
      <c r="B1838" s="53"/>
      <c r="C1838" s="57"/>
      <c r="D1838"/>
      <c r="E1838" s="53"/>
      <c r="F1838"/>
      <c r="G1838"/>
      <c r="H1838"/>
      <c r="I1838"/>
      <c r="J1838"/>
      <c r="K1838"/>
      <c r="L1838"/>
      <c r="M1838"/>
    </row>
    <row r="1839" spans="2:13" s="49" customFormat="1" ht="13.95" customHeight="1" x14ac:dyDescent="0.3">
      <c r="B1839" s="53"/>
      <c r="C1839" s="57"/>
      <c r="D1839"/>
      <c r="E1839" s="53"/>
      <c r="F1839"/>
      <c r="G1839"/>
      <c r="H1839"/>
      <c r="I1839"/>
      <c r="J1839"/>
      <c r="K1839"/>
      <c r="L1839"/>
      <c r="M1839"/>
    </row>
    <row r="1840" spans="2:13" s="49" customFormat="1" ht="13.95" customHeight="1" x14ac:dyDescent="0.3">
      <c r="B1840" s="53"/>
      <c r="C1840" s="57"/>
      <c r="D1840"/>
      <c r="E1840" s="53"/>
      <c r="F1840"/>
      <c r="G1840"/>
      <c r="H1840"/>
      <c r="I1840"/>
      <c r="J1840"/>
      <c r="K1840"/>
      <c r="L1840"/>
      <c r="M1840"/>
    </row>
    <row r="1841" spans="2:13" s="49" customFormat="1" ht="13.95" customHeight="1" x14ac:dyDescent="0.3">
      <c r="B1841" s="53"/>
      <c r="C1841" s="57"/>
      <c r="D1841"/>
      <c r="E1841" s="53"/>
      <c r="F1841"/>
      <c r="G1841"/>
      <c r="H1841"/>
      <c r="I1841"/>
      <c r="J1841"/>
      <c r="K1841"/>
      <c r="L1841"/>
      <c r="M1841"/>
    </row>
    <row r="1842" spans="2:13" s="49" customFormat="1" ht="13.95" customHeight="1" x14ac:dyDescent="0.3">
      <c r="B1842" s="53"/>
      <c r="C1842" s="57"/>
      <c r="D1842"/>
      <c r="E1842" s="53"/>
      <c r="F1842"/>
      <c r="G1842"/>
      <c r="H1842"/>
      <c r="I1842"/>
      <c r="J1842"/>
      <c r="K1842"/>
      <c r="L1842"/>
      <c r="M1842"/>
    </row>
    <row r="1843" spans="2:13" s="49" customFormat="1" ht="13.95" customHeight="1" x14ac:dyDescent="0.3">
      <c r="B1843" s="53"/>
      <c r="C1843" s="57"/>
      <c r="D1843"/>
      <c r="E1843" s="53"/>
      <c r="F1843"/>
      <c r="G1843"/>
      <c r="H1843"/>
      <c r="I1843"/>
      <c r="J1843"/>
      <c r="K1843"/>
      <c r="L1843"/>
      <c r="M1843"/>
    </row>
    <row r="1844" spans="2:13" s="49" customFormat="1" ht="13.95" customHeight="1" x14ac:dyDescent="0.3">
      <c r="B1844" s="53"/>
      <c r="C1844" s="57"/>
      <c r="D1844"/>
      <c r="E1844" s="53"/>
      <c r="F1844"/>
      <c r="G1844"/>
      <c r="H1844"/>
      <c r="I1844"/>
      <c r="J1844"/>
      <c r="K1844"/>
      <c r="L1844"/>
      <c r="M1844"/>
    </row>
    <row r="1845" spans="2:13" s="49" customFormat="1" ht="13.95" customHeight="1" x14ac:dyDescent="0.3">
      <c r="B1845" s="53"/>
      <c r="C1845" s="57"/>
      <c r="D1845"/>
      <c r="E1845" s="53"/>
      <c r="F1845"/>
      <c r="G1845"/>
      <c r="H1845"/>
      <c r="I1845"/>
      <c r="J1845"/>
      <c r="K1845"/>
      <c r="L1845"/>
      <c r="M1845"/>
    </row>
    <row r="1846" spans="2:13" s="49" customFormat="1" ht="13.95" customHeight="1" x14ac:dyDescent="0.3">
      <c r="B1846" s="53"/>
      <c r="C1846" s="57"/>
      <c r="D1846"/>
      <c r="E1846" s="53"/>
      <c r="F1846"/>
      <c r="G1846"/>
      <c r="H1846"/>
      <c r="I1846"/>
      <c r="J1846"/>
      <c r="K1846"/>
      <c r="L1846"/>
      <c r="M1846"/>
    </row>
    <row r="1847" spans="2:13" s="49" customFormat="1" ht="13.95" customHeight="1" x14ac:dyDescent="0.3">
      <c r="B1847" s="53"/>
      <c r="C1847" s="57"/>
      <c r="D1847"/>
      <c r="E1847" s="53"/>
      <c r="F1847"/>
      <c r="G1847"/>
      <c r="H1847"/>
      <c r="I1847"/>
      <c r="J1847"/>
      <c r="K1847"/>
      <c r="L1847"/>
      <c r="M1847"/>
    </row>
    <row r="1848" spans="2:13" s="49" customFormat="1" ht="13.95" customHeight="1" x14ac:dyDescent="0.3">
      <c r="B1848" s="53"/>
      <c r="C1848" s="57"/>
      <c r="D1848"/>
      <c r="E1848" s="53"/>
      <c r="F1848"/>
      <c r="G1848"/>
      <c r="H1848"/>
      <c r="I1848"/>
      <c r="J1848"/>
      <c r="K1848"/>
      <c r="L1848"/>
      <c r="M1848"/>
    </row>
    <row r="1849" spans="2:13" s="49" customFormat="1" ht="13.95" customHeight="1" x14ac:dyDescent="0.3">
      <c r="B1849" s="53"/>
      <c r="C1849" s="57"/>
      <c r="D1849"/>
      <c r="E1849" s="53"/>
      <c r="F1849"/>
      <c r="G1849"/>
      <c r="H1849"/>
      <c r="I1849"/>
      <c r="J1849"/>
      <c r="K1849"/>
      <c r="L1849"/>
      <c r="M1849"/>
    </row>
    <row r="1850" spans="2:13" s="49" customFormat="1" ht="13.95" customHeight="1" x14ac:dyDescent="0.3">
      <c r="B1850" s="53"/>
      <c r="C1850" s="57"/>
      <c r="D1850"/>
      <c r="E1850" s="53"/>
      <c r="F1850"/>
      <c r="G1850"/>
      <c r="H1850"/>
      <c r="I1850"/>
      <c r="J1850"/>
      <c r="K1850"/>
      <c r="L1850"/>
      <c r="M1850"/>
    </row>
    <row r="1851" spans="2:13" s="49" customFormat="1" ht="13.95" customHeight="1" x14ac:dyDescent="0.3">
      <c r="B1851" s="53"/>
      <c r="C1851" s="57"/>
      <c r="D1851"/>
      <c r="E1851" s="53"/>
      <c r="F1851"/>
      <c r="G1851"/>
      <c r="H1851"/>
      <c r="I1851"/>
      <c r="J1851"/>
      <c r="K1851"/>
      <c r="L1851"/>
      <c r="M1851"/>
    </row>
    <row r="1852" spans="2:13" s="49" customFormat="1" ht="13.95" customHeight="1" x14ac:dyDescent="0.3">
      <c r="B1852" s="53"/>
      <c r="C1852" s="57"/>
      <c r="D1852"/>
      <c r="E1852" s="53"/>
      <c r="F1852"/>
      <c r="G1852"/>
      <c r="H1852"/>
      <c r="I1852"/>
      <c r="J1852"/>
      <c r="K1852"/>
      <c r="L1852"/>
      <c r="M1852"/>
    </row>
    <row r="1853" spans="2:13" s="49" customFormat="1" ht="13.95" customHeight="1" x14ac:dyDescent="0.3">
      <c r="B1853" s="53"/>
      <c r="C1853" s="57"/>
      <c r="D1853"/>
      <c r="E1853" s="53"/>
      <c r="F1853"/>
      <c r="G1853"/>
      <c r="H1853"/>
      <c r="I1853"/>
      <c r="J1853"/>
      <c r="K1853"/>
      <c r="L1853"/>
      <c r="M1853"/>
    </row>
    <row r="1854" spans="2:13" s="49" customFormat="1" ht="13.95" customHeight="1" x14ac:dyDescent="0.3">
      <c r="B1854" s="53"/>
      <c r="C1854" s="57"/>
      <c r="D1854"/>
      <c r="E1854" s="53"/>
      <c r="F1854"/>
      <c r="G1854"/>
      <c r="H1854"/>
      <c r="I1854"/>
      <c r="J1854"/>
      <c r="K1854"/>
      <c r="L1854"/>
      <c r="M1854"/>
    </row>
    <row r="1855" spans="2:13" s="49" customFormat="1" ht="13.95" customHeight="1" x14ac:dyDescent="0.3">
      <c r="B1855" s="53"/>
      <c r="C1855" s="57"/>
      <c r="D1855"/>
      <c r="E1855" s="53"/>
      <c r="F1855"/>
      <c r="G1855"/>
      <c r="H1855"/>
      <c r="I1855"/>
      <c r="J1855"/>
      <c r="K1855"/>
      <c r="L1855"/>
      <c r="M1855"/>
    </row>
    <row r="1856" spans="2:13" s="49" customFormat="1" ht="13.95" customHeight="1" x14ac:dyDescent="0.3">
      <c r="B1856" s="53"/>
      <c r="C1856" s="57"/>
      <c r="D1856"/>
      <c r="E1856" s="53"/>
      <c r="F1856"/>
      <c r="G1856"/>
      <c r="H1856"/>
      <c r="I1856"/>
      <c r="J1856"/>
      <c r="K1856"/>
      <c r="L1856"/>
      <c r="M1856"/>
    </row>
    <row r="1857" spans="2:13" s="49" customFormat="1" ht="13.95" customHeight="1" x14ac:dyDescent="0.3">
      <c r="B1857" s="53"/>
      <c r="C1857" s="57"/>
      <c r="D1857"/>
      <c r="E1857" s="53"/>
      <c r="F1857"/>
      <c r="G1857"/>
      <c r="H1857"/>
      <c r="I1857"/>
      <c r="J1857"/>
      <c r="K1857"/>
      <c r="L1857"/>
      <c r="M1857"/>
    </row>
    <row r="1858" spans="2:13" s="49" customFormat="1" ht="13.95" customHeight="1" x14ac:dyDescent="0.3">
      <c r="B1858" s="53"/>
      <c r="C1858" s="57"/>
      <c r="D1858"/>
      <c r="E1858" s="53"/>
      <c r="F1858"/>
      <c r="G1858"/>
      <c r="H1858"/>
      <c r="I1858"/>
      <c r="J1858"/>
      <c r="K1858"/>
      <c r="L1858"/>
      <c r="M1858"/>
    </row>
    <row r="1859" spans="2:13" s="49" customFormat="1" ht="13.95" customHeight="1" x14ac:dyDescent="0.3">
      <c r="B1859" s="53"/>
      <c r="C1859" s="57"/>
      <c r="D1859"/>
      <c r="E1859" s="53"/>
      <c r="F1859"/>
      <c r="G1859"/>
      <c r="H1859"/>
      <c r="I1859"/>
      <c r="J1859"/>
      <c r="K1859"/>
      <c r="L1859"/>
      <c r="M1859"/>
    </row>
    <row r="1860" spans="2:13" s="49" customFormat="1" ht="13.95" customHeight="1" x14ac:dyDescent="0.3">
      <c r="B1860" s="53"/>
      <c r="C1860" s="57"/>
      <c r="D1860"/>
      <c r="E1860" s="53"/>
      <c r="F1860"/>
      <c r="G1860"/>
      <c r="H1860"/>
      <c r="I1860"/>
      <c r="J1860"/>
      <c r="K1860"/>
      <c r="L1860"/>
      <c r="M1860"/>
    </row>
    <row r="1861" spans="2:13" s="49" customFormat="1" ht="13.95" customHeight="1" x14ac:dyDescent="0.3">
      <c r="B1861" s="53"/>
      <c r="C1861" s="57"/>
      <c r="D1861"/>
      <c r="E1861" s="53"/>
      <c r="F1861"/>
      <c r="G1861"/>
      <c r="H1861"/>
      <c r="I1861"/>
      <c r="J1861"/>
      <c r="K1861"/>
      <c r="L1861"/>
      <c r="M1861"/>
    </row>
    <row r="1862" spans="2:13" s="49" customFormat="1" ht="13.95" customHeight="1" x14ac:dyDescent="0.3">
      <c r="B1862" s="53"/>
      <c r="C1862" s="57"/>
      <c r="D1862"/>
      <c r="E1862" s="53"/>
      <c r="F1862"/>
      <c r="G1862"/>
      <c r="H1862"/>
      <c r="I1862"/>
      <c r="J1862"/>
      <c r="K1862"/>
      <c r="L1862"/>
      <c r="M1862"/>
    </row>
    <row r="1863" spans="2:13" s="49" customFormat="1" ht="13.95" customHeight="1" x14ac:dyDescent="0.3">
      <c r="B1863" s="53"/>
      <c r="C1863" s="57"/>
      <c r="D1863"/>
      <c r="E1863" s="53"/>
      <c r="F1863"/>
      <c r="G1863"/>
      <c r="H1863"/>
      <c r="I1863"/>
      <c r="J1863"/>
      <c r="K1863"/>
      <c r="L1863"/>
      <c r="M1863"/>
    </row>
    <row r="1864" spans="2:13" s="49" customFormat="1" ht="13.95" customHeight="1" x14ac:dyDescent="0.3">
      <c r="B1864" s="53"/>
      <c r="C1864" s="57"/>
      <c r="D1864"/>
      <c r="E1864" s="53"/>
      <c r="F1864"/>
      <c r="G1864"/>
      <c r="H1864"/>
      <c r="I1864"/>
      <c r="J1864"/>
      <c r="K1864"/>
      <c r="L1864"/>
      <c r="M1864"/>
    </row>
    <row r="1865" spans="2:13" s="49" customFormat="1" ht="13.95" customHeight="1" x14ac:dyDescent="0.3">
      <c r="B1865" s="53"/>
      <c r="C1865" s="57"/>
      <c r="D1865"/>
      <c r="E1865" s="53"/>
      <c r="F1865"/>
      <c r="G1865"/>
      <c r="H1865"/>
      <c r="I1865"/>
      <c r="J1865"/>
      <c r="K1865"/>
      <c r="L1865"/>
      <c r="M1865"/>
    </row>
    <row r="1866" spans="2:13" s="49" customFormat="1" ht="13.95" customHeight="1" x14ac:dyDescent="0.3">
      <c r="B1866" s="53"/>
      <c r="C1866" s="57"/>
      <c r="D1866"/>
      <c r="E1866" s="53"/>
      <c r="F1866"/>
      <c r="G1866"/>
      <c r="H1866"/>
      <c r="I1866"/>
      <c r="J1866"/>
      <c r="K1866"/>
      <c r="L1866"/>
      <c r="M1866"/>
    </row>
    <row r="1867" spans="2:13" s="49" customFormat="1" ht="13.95" customHeight="1" x14ac:dyDescent="0.3">
      <c r="B1867" s="53"/>
      <c r="C1867" s="57"/>
      <c r="D1867"/>
      <c r="E1867" s="53"/>
      <c r="F1867"/>
      <c r="G1867"/>
      <c r="H1867"/>
      <c r="I1867"/>
      <c r="J1867"/>
      <c r="K1867"/>
      <c r="L1867"/>
      <c r="M1867"/>
    </row>
    <row r="1868" spans="2:13" s="49" customFormat="1" ht="13.95" customHeight="1" x14ac:dyDescent="0.3">
      <c r="B1868" s="53"/>
      <c r="C1868" s="57"/>
      <c r="D1868"/>
      <c r="E1868" s="53"/>
      <c r="F1868"/>
      <c r="G1868"/>
      <c r="H1868"/>
      <c r="I1868"/>
      <c r="J1868"/>
      <c r="K1868"/>
      <c r="L1868"/>
      <c r="M1868"/>
    </row>
    <row r="1869" spans="2:13" s="49" customFormat="1" ht="13.95" customHeight="1" x14ac:dyDescent="0.3">
      <c r="B1869" s="53"/>
      <c r="C1869" s="57"/>
      <c r="D1869"/>
      <c r="E1869" s="53"/>
      <c r="F1869"/>
      <c r="G1869"/>
      <c r="H1869"/>
      <c r="I1869"/>
      <c r="J1869"/>
      <c r="K1869"/>
      <c r="L1869"/>
      <c r="M1869"/>
    </row>
    <row r="1870" spans="2:13" s="49" customFormat="1" ht="13.95" customHeight="1" x14ac:dyDescent="0.3">
      <c r="B1870" s="53"/>
      <c r="C1870" s="57"/>
      <c r="D1870"/>
      <c r="E1870" s="53"/>
      <c r="F1870"/>
      <c r="G1870"/>
      <c r="H1870"/>
      <c r="I1870"/>
      <c r="J1870"/>
      <c r="K1870"/>
      <c r="L1870"/>
      <c r="M1870"/>
    </row>
    <row r="1871" spans="2:13" s="49" customFormat="1" ht="13.95" customHeight="1" x14ac:dyDescent="0.3">
      <c r="B1871" s="53"/>
      <c r="C1871" s="57"/>
      <c r="D1871"/>
      <c r="E1871" s="53"/>
      <c r="F1871"/>
      <c r="G1871"/>
      <c r="H1871"/>
      <c r="I1871"/>
      <c r="J1871"/>
      <c r="K1871"/>
      <c r="L1871"/>
      <c r="M1871"/>
    </row>
    <row r="1872" spans="2:13" s="49" customFormat="1" ht="13.95" customHeight="1" x14ac:dyDescent="0.3">
      <c r="B1872" s="53"/>
      <c r="C1872" s="57"/>
      <c r="D1872"/>
      <c r="E1872" s="53"/>
      <c r="F1872"/>
      <c r="G1872"/>
      <c r="H1872"/>
      <c r="I1872"/>
      <c r="J1872"/>
      <c r="K1872"/>
      <c r="L1872"/>
      <c r="M1872"/>
    </row>
    <row r="1873" spans="2:13" s="49" customFormat="1" ht="13.95" customHeight="1" x14ac:dyDescent="0.3">
      <c r="B1873" s="53"/>
      <c r="C1873" s="57"/>
      <c r="D1873"/>
      <c r="E1873" s="53"/>
      <c r="F1873"/>
      <c r="G1873"/>
      <c r="H1873"/>
      <c r="I1873"/>
      <c r="J1873"/>
      <c r="K1873"/>
      <c r="L1873"/>
      <c r="M1873"/>
    </row>
    <row r="1874" spans="2:13" s="49" customFormat="1" ht="13.95" customHeight="1" x14ac:dyDescent="0.3">
      <c r="B1874" s="53"/>
      <c r="C1874" s="57"/>
      <c r="D1874"/>
      <c r="E1874" s="53"/>
      <c r="F1874"/>
      <c r="G1874"/>
      <c r="H1874"/>
      <c r="I1874"/>
      <c r="J1874"/>
      <c r="K1874"/>
      <c r="L1874"/>
      <c r="M1874"/>
    </row>
    <row r="1875" spans="2:13" s="49" customFormat="1" ht="13.95" customHeight="1" x14ac:dyDescent="0.3">
      <c r="B1875" s="53"/>
      <c r="C1875" s="57"/>
      <c r="D1875"/>
      <c r="E1875" s="53"/>
      <c r="F1875"/>
      <c r="G1875"/>
      <c r="H1875"/>
      <c r="I1875"/>
      <c r="J1875"/>
      <c r="K1875"/>
      <c r="L1875"/>
      <c r="M1875"/>
    </row>
    <row r="1876" spans="2:13" s="49" customFormat="1" ht="13.95" customHeight="1" x14ac:dyDescent="0.3">
      <c r="B1876" s="53"/>
      <c r="C1876" s="57"/>
      <c r="D1876"/>
      <c r="E1876" s="53"/>
      <c r="F1876"/>
      <c r="G1876"/>
      <c r="H1876"/>
      <c r="I1876"/>
      <c r="J1876"/>
      <c r="K1876"/>
      <c r="L1876"/>
      <c r="M1876"/>
    </row>
    <row r="1877" spans="2:13" s="49" customFormat="1" ht="13.95" customHeight="1" x14ac:dyDescent="0.3">
      <c r="B1877" s="53"/>
      <c r="C1877" s="57"/>
      <c r="D1877"/>
      <c r="E1877" s="53"/>
      <c r="F1877"/>
      <c r="G1877"/>
      <c r="H1877"/>
      <c r="I1877"/>
      <c r="J1877"/>
      <c r="K1877"/>
      <c r="L1877"/>
      <c r="M1877"/>
    </row>
    <row r="1878" spans="2:13" s="49" customFormat="1" ht="13.95" customHeight="1" x14ac:dyDescent="0.3">
      <c r="B1878" s="53"/>
      <c r="C1878" s="57"/>
      <c r="D1878"/>
      <c r="E1878" s="53"/>
      <c r="F1878"/>
      <c r="G1878"/>
      <c r="H1878"/>
      <c r="I1878"/>
      <c r="J1878"/>
      <c r="K1878"/>
      <c r="L1878"/>
      <c r="M1878"/>
    </row>
    <row r="1879" spans="2:13" s="49" customFormat="1" ht="13.95" customHeight="1" x14ac:dyDescent="0.3">
      <c r="B1879" s="53"/>
      <c r="C1879" s="57"/>
      <c r="D1879"/>
      <c r="E1879" s="53"/>
      <c r="F1879"/>
      <c r="G1879"/>
      <c r="H1879"/>
      <c r="I1879"/>
      <c r="J1879"/>
      <c r="K1879"/>
      <c r="L1879"/>
      <c r="M1879"/>
    </row>
    <row r="1880" spans="2:13" s="49" customFormat="1" ht="13.95" customHeight="1" x14ac:dyDescent="0.3">
      <c r="B1880" s="53"/>
      <c r="C1880" s="57"/>
      <c r="D1880"/>
      <c r="E1880" s="53"/>
      <c r="F1880"/>
      <c r="G1880"/>
      <c r="H1880"/>
      <c r="I1880"/>
      <c r="J1880"/>
      <c r="K1880"/>
      <c r="L1880"/>
      <c r="M1880"/>
    </row>
    <row r="1881" spans="2:13" s="49" customFormat="1" ht="13.95" customHeight="1" x14ac:dyDescent="0.3">
      <c r="B1881" s="53"/>
      <c r="C1881" s="57"/>
      <c r="D1881"/>
      <c r="E1881" s="53"/>
      <c r="F1881"/>
      <c r="G1881"/>
      <c r="H1881"/>
      <c r="I1881"/>
      <c r="J1881"/>
      <c r="K1881"/>
      <c r="L1881"/>
      <c r="M1881"/>
    </row>
    <row r="1882" spans="2:13" s="49" customFormat="1" ht="13.95" customHeight="1" x14ac:dyDescent="0.3">
      <c r="B1882" s="53"/>
      <c r="C1882" s="57"/>
      <c r="D1882"/>
      <c r="E1882" s="53"/>
      <c r="F1882"/>
      <c r="G1882"/>
      <c r="H1882"/>
      <c r="I1882"/>
      <c r="J1882"/>
      <c r="K1882"/>
      <c r="L1882"/>
      <c r="M1882"/>
    </row>
    <row r="1883" spans="2:13" s="49" customFormat="1" ht="13.95" customHeight="1" x14ac:dyDescent="0.3">
      <c r="B1883" s="53"/>
      <c r="C1883" s="57"/>
      <c r="D1883"/>
      <c r="E1883" s="53"/>
      <c r="F1883"/>
      <c r="G1883"/>
      <c r="H1883"/>
      <c r="I1883"/>
      <c r="J1883"/>
      <c r="K1883"/>
      <c r="L1883"/>
      <c r="M1883"/>
    </row>
    <row r="1884" spans="2:13" s="49" customFormat="1" ht="13.95" customHeight="1" x14ac:dyDescent="0.3">
      <c r="B1884" s="53"/>
      <c r="C1884" s="57"/>
      <c r="D1884"/>
      <c r="E1884" s="53"/>
      <c r="F1884"/>
      <c r="G1884"/>
      <c r="H1884"/>
      <c r="I1884"/>
      <c r="J1884"/>
      <c r="K1884"/>
      <c r="L1884"/>
      <c r="M1884"/>
    </row>
    <row r="1885" spans="2:13" s="49" customFormat="1" ht="13.95" customHeight="1" x14ac:dyDescent="0.3">
      <c r="B1885" s="53"/>
      <c r="C1885" s="57"/>
      <c r="D1885"/>
      <c r="E1885" s="53"/>
      <c r="F1885"/>
      <c r="G1885"/>
      <c r="H1885"/>
      <c r="I1885"/>
      <c r="J1885"/>
      <c r="K1885"/>
      <c r="L1885"/>
      <c r="M1885"/>
    </row>
    <row r="1886" spans="2:13" s="49" customFormat="1" ht="13.95" customHeight="1" x14ac:dyDescent="0.3">
      <c r="B1886" s="53"/>
      <c r="C1886" s="57"/>
      <c r="D1886"/>
      <c r="E1886" s="53"/>
      <c r="F1886"/>
      <c r="G1886"/>
      <c r="H1886"/>
      <c r="I1886"/>
      <c r="J1886"/>
      <c r="K1886"/>
      <c r="L1886"/>
      <c r="M1886"/>
    </row>
    <row r="1887" spans="2:13" s="49" customFormat="1" ht="13.95" customHeight="1" x14ac:dyDescent="0.3">
      <c r="B1887" s="53"/>
      <c r="C1887" s="57"/>
      <c r="D1887"/>
      <c r="E1887" s="53"/>
      <c r="F1887"/>
      <c r="G1887"/>
      <c r="H1887"/>
      <c r="I1887"/>
      <c r="J1887"/>
      <c r="K1887"/>
      <c r="L1887"/>
      <c r="M1887"/>
    </row>
    <row r="1888" spans="2:13" s="49" customFormat="1" ht="13.95" customHeight="1" x14ac:dyDescent="0.3">
      <c r="B1888" s="53"/>
      <c r="C1888" s="57"/>
      <c r="D1888"/>
      <c r="E1888" s="53"/>
      <c r="F1888"/>
      <c r="G1888"/>
      <c r="H1888"/>
      <c r="I1888"/>
      <c r="J1888"/>
      <c r="K1888"/>
      <c r="L1888"/>
      <c r="M1888"/>
    </row>
    <row r="1889" spans="2:13" s="49" customFormat="1" ht="13.95" customHeight="1" x14ac:dyDescent="0.3">
      <c r="B1889" s="53"/>
      <c r="C1889" s="57"/>
      <c r="D1889"/>
      <c r="E1889" s="53"/>
      <c r="F1889"/>
      <c r="G1889"/>
      <c r="H1889"/>
      <c r="I1889"/>
      <c r="J1889"/>
      <c r="K1889"/>
      <c r="L1889"/>
      <c r="M1889"/>
    </row>
    <row r="1890" spans="2:13" s="49" customFormat="1" ht="13.95" customHeight="1" x14ac:dyDescent="0.3">
      <c r="B1890" s="53"/>
      <c r="C1890" s="57"/>
      <c r="D1890"/>
      <c r="E1890" s="53"/>
      <c r="F1890"/>
      <c r="G1890"/>
      <c r="H1890"/>
      <c r="I1890"/>
      <c r="J1890"/>
      <c r="K1890"/>
      <c r="L1890"/>
      <c r="M1890"/>
    </row>
    <row r="1891" spans="2:13" ht="13.95" customHeight="1" x14ac:dyDescent="0.3"/>
    <row r="1892" spans="2:13" ht="13.95" customHeight="1" x14ac:dyDescent="0.3"/>
    <row r="1893" spans="2:13" ht="13.95" customHeight="1" x14ac:dyDescent="0.3"/>
    <row r="1894" spans="2:13" ht="13.95" customHeight="1" x14ac:dyDescent="0.3"/>
    <row r="1895" spans="2:13" ht="13.95" customHeight="1" x14ac:dyDescent="0.3"/>
    <row r="1896" spans="2:13" ht="13.95" customHeight="1" x14ac:dyDescent="0.3"/>
    <row r="1897" spans="2:13" ht="13.95" customHeight="1" x14ac:dyDescent="0.3"/>
    <row r="1898" spans="2:13" ht="13.95" customHeight="1" x14ac:dyDescent="0.3"/>
    <row r="1899" spans="2:13" ht="13.95" customHeight="1" x14ac:dyDescent="0.3"/>
    <row r="1900" spans="2:13" ht="13.95" customHeight="1" x14ac:dyDescent="0.3"/>
    <row r="1901" spans="2:13" ht="13.95" customHeight="1" x14ac:dyDescent="0.3"/>
    <row r="1902" spans="2:13" ht="13.95" customHeight="1" x14ac:dyDescent="0.3"/>
    <row r="1903" spans="2:13" ht="13.95" customHeight="1" x14ac:dyDescent="0.3"/>
    <row r="1904" spans="2:13" ht="13.95" customHeight="1" x14ac:dyDescent="0.3"/>
    <row r="1905" ht="13.95" customHeight="1" x14ac:dyDescent="0.3"/>
    <row r="1906" ht="13.95" customHeight="1" x14ac:dyDescent="0.3"/>
    <row r="1907" ht="13.95" customHeight="1" x14ac:dyDescent="0.3"/>
    <row r="1908" ht="13.95" customHeight="1" x14ac:dyDescent="0.3"/>
    <row r="1909" ht="13.95" customHeight="1" x14ac:dyDescent="0.3"/>
    <row r="1910" ht="13.95" customHeight="1" x14ac:dyDescent="0.3"/>
    <row r="1911" ht="13.95" customHeight="1" x14ac:dyDescent="0.3"/>
    <row r="1912" ht="13.95" customHeight="1" x14ac:dyDescent="0.3"/>
    <row r="1913" ht="13.95" customHeight="1" x14ac:dyDescent="0.3"/>
    <row r="1914" ht="13.95" customHeight="1" x14ac:dyDescent="0.3"/>
    <row r="1915" ht="13.95" customHeight="1" x14ac:dyDescent="0.3"/>
    <row r="1916" ht="13.95" customHeight="1" x14ac:dyDescent="0.3"/>
    <row r="1917" ht="13.95" customHeight="1" x14ac:dyDescent="0.3"/>
    <row r="1918" ht="13.95" customHeight="1" x14ac:dyDescent="0.3"/>
    <row r="1919" ht="13.95" customHeight="1" x14ac:dyDescent="0.3"/>
    <row r="1920" ht="13.95" customHeight="1" x14ac:dyDescent="0.3"/>
    <row r="1921" ht="13.95" customHeight="1" x14ac:dyDescent="0.3"/>
    <row r="1922" ht="13.95" customHeight="1" x14ac:dyDescent="0.3"/>
    <row r="1923" ht="13.95" customHeight="1" x14ac:dyDescent="0.3"/>
    <row r="1924" ht="13.95" customHeight="1" x14ac:dyDescent="0.3"/>
    <row r="1925" ht="13.95" customHeight="1" x14ac:dyDescent="0.3"/>
    <row r="1926" ht="13.95" customHeight="1" x14ac:dyDescent="0.3"/>
    <row r="1927" ht="13.95" customHeight="1" x14ac:dyDescent="0.3"/>
    <row r="1928" ht="13.95" customHeight="1" x14ac:dyDescent="0.3"/>
    <row r="1929" ht="13.95" customHeight="1" x14ac:dyDescent="0.3"/>
    <row r="1930" ht="13.95" customHeight="1" x14ac:dyDescent="0.3"/>
    <row r="1931" ht="13.95" customHeight="1" x14ac:dyDescent="0.3"/>
    <row r="1932" ht="13.95" customHeight="1" x14ac:dyDescent="0.3"/>
    <row r="1933" ht="13.95" customHeight="1" x14ac:dyDescent="0.3"/>
    <row r="1934" ht="13.95" customHeight="1" x14ac:dyDescent="0.3"/>
    <row r="1935" ht="13.95" customHeight="1" x14ac:dyDescent="0.3"/>
    <row r="1936" ht="13.95" customHeight="1" x14ac:dyDescent="0.3"/>
    <row r="1937" ht="13.95" customHeight="1" x14ac:dyDescent="0.3"/>
    <row r="1938" ht="13.95" customHeight="1" x14ac:dyDescent="0.3"/>
    <row r="1939" ht="13.95" customHeight="1" x14ac:dyDescent="0.3"/>
    <row r="1940" ht="13.95" customHeight="1" x14ac:dyDescent="0.3"/>
    <row r="1941" ht="13.95" customHeight="1" x14ac:dyDescent="0.3"/>
    <row r="1942" ht="13.95" customHeight="1" x14ac:dyDescent="0.3"/>
    <row r="1943" ht="13.95" customHeight="1" x14ac:dyDescent="0.3"/>
    <row r="1944" ht="13.95" customHeight="1" x14ac:dyDescent="0.3"/>
    <row r="1945" ht="13.95" customHeight="1" x14ac:dyDescent="0.3"/>
    <row r="1946" ht="13.95" customHeight="1" x14ac:dyDescent="0.3"/>
    <row r="1947" ht="13.95" customHeight="1" x14ac:dyDescent="0.3"/>
    <row r="1948" ht="13.95" customHeight="1" x14ac:dyDescent="0.3"/>
    <row r="1949" ht="13.95" customHeight="1" x14ac:dyDescent="0.3"/>
    <row r="1950" ht="13.95" customHeight="1" x14ac:dyDescent="0.3"/>
    <row r="1951" ht="13.95" customHeight="1" x14ac:dyDescent="0.3"/>
    <row r="1952" ht="13.95" customHeight="1" x14ac:dyDescent="0.3"/>
    <row r="1953" ht="13.95" customHeight="1" x14ac:dyDescent="0.3"/>
    <row r="1954" ht="13.95" customHeight="1" x14ac:dyDescent="0.3"/>
    <row r="1955" ht="13.95" customHeight="1" x14ac:dyDescent="0.3"/>
    <row r="1956" ht="13.95" customHeight="1" x14ac:dyDescent="0.3"/>
    <row r="1957" ht="13.95" customHeight="1" x14ac:dyDescent="0.3"/>
    <row r="1958" ht="13.95" customHeight="1" x14ac:dyDescent="0.3"/>
    <row r="1959" ht="13.95" customHeight="1" x14ac:dyDescent="0.3"/>
    <row r="1960" ht="13.95" customHeight="1" x14ac:dyDescent="0.3"/>
    <row r="1961" ht="13.95" customHeight="1" x14ac:dyDescent="0.3"/>
    <row r="1962" ht="13.95" customHeight="1" x14ac:dyDescent="0.3"/>
    <row r="1963" ht="13.95" customHeight="1" x14ac:dyDescent="0.3"/>
    <row r="1964" ht="13.95" customHeight="1" x14ac:dyDescent="0.3"/>
    <row r="1965" ht="13.95" customHeight="1" x14ac:dyDescent="0.3"/>
    <row r="1966" ht="13.95" customHeight="1" x14ac:dyDescent="0.3"/>
    <row r="1967" ht="13.95" customHeight="1" x14ac:dyDescent="0.3"/>
    <row r="1968" ht="13.95" customHeight="1" x14ac:dyDescent="0.3"/>
    <row r="1969" ht="13.95" customHeight="1" x14ac:dyDescent="0.3"/>
    <row r="1970" ht="13.95" customHeight="1" x14ac:dyDescent="0.3"/>
    <row r="1971" ht="13.95" customHeight="1" x14ac:dyDescent="0.3"/>
    <row r="1972" ht="13.95" customHeight="1" x14ac:dyDescent="0.3"/>
    <row r="1973" ht="13.95" customHeight="1" x14ac:dyDescent="0.3"/>
    <row r="1974" ht="13.95" customHeight="1" x14ac:dyDescent="0.3"/>
    <row r="1975" ht="13.95" customHeight="1" x14ac:dyDescent="0.3"/>
    <row r="1976" ht="13.95" customHeight="1" x14ac:dyDescent="0.3"/>
    <row r="1977" ht="13.95" customHeight="1" x14ac:dyDescent="0.3"/>
    <row r="1978" ht="13.95" customHeight="1" x14ac:dyDescent="0.3"/>
    <row r="1979" ht="13.95" customHeight="1" x14ac:dyDescent="0.3"/>
    <row r="1980" ht="13.95" customHeight="1" x14ac:dyDescent="0.3"/>
    <row r="1981" ht="13.95" customHeight="1" x14ac:dyDescent="0.3"/>
    <row r="1982" ht="13.95" customHeight="1" x14ac:dyDescent="0.3"/>
    <row r="1983" ht="13.95" customHeight="1" x14ac:dyDescent="0.3"/>
    <row r="1984" ht="13.95" customHeight="1" x14ac:dyDescent="0.3"/>
    <row r="1985" ht="13.95" customHeight="1" x14ac:dyDescent="0.3"/>
    <row r="1986" ht="13.95" customHeight="1" x14ac:dyDescent="0.3"/>
    <row r="1987" ht="13.95" customHeight="1" x14ac:dyDescent="0.3"/>
    <row r="1988" ht="13.95" customHeight="1" x14ac:dyDescent="0.3"/>
    <row r="1989" ht="13.95" customHeight="1" x14ac:dyDescent="0.3"/>
    <row r="1990" ht="13.95" customHeight="1" x14ac:dyDescent="0.3"/>
    <row r="1991" ht="13.95" customHeight="1" x14ac:dyDescent="0.3"/>
    <row r="1992" ht="13.95" customHeight="1" x14ac:dyDescent="0.3"/>
    <row r="1993" ht="13.95" customHeight="1" x14ac:dyDescent="0.3"/>
    <row r="1994" ht="13.95" customHeight="1" x14ac:dyDescent="0.3"/>
    <row r="1995" ht="13.95" customHeight="1" x14ac:dyDescent="0.3"/>
    <row r="1996" ht="13.95" customHeight="1" x14ac:dyDescent="0.3"/>
    <row r="1997" ht="13.95" customHeight="1" x14ac:dyDescent="0.3"/>
    <row r="1998" ht="13.95" customHeight="1" x14ac:dyDescent="0.3"/>
    <row r="1999" ht="13.95" customHeight="1" x14ac:dyDescent="0.3"/>
    <row r="2000" ht="13.95" customHeight="1" x14ac:dyDescent="0.3"/>
    <row r="2001" ht="13.95" customHeight="1" x14ac:dyDescent="0.3"/>
    <row r="2002" ht="13.95" customHeight="1" x14ac:dyDescent="0.3"/>
    <row r="2003" ht="13.95" customHeight="1" x14ac:dyDescent="0.3"/>
    <row r="2004" ht="13.95" customHeight="1" x14ac:dyDescent="0.3"/>
    <row r="2005" ht="13.95" customHeight="1" x14ac:dyDescent="0.3"/>
    <row r="2006" ht="13.95" customHeight="1" x14ac:dyDescent="0.3"/>
    <row r="2007" ht="13.95" customHeight="1" x14ac:dyDescent="0.3"/>
    <row r="2008" ht="13.95" customHeight="1" x14ac:dyDescent="0.3"/>
    <row r="2009" ht="13.95" customHeight="1" x14ac:dyDescent="0.3"/>
    <row r="2010" ht="13.95" customHeight="1" x14ac:dyDescent="0.3"/>
    <row r="2011" ht="13.95" customHeight="1" x14ac:dyDescent="0.3"/>
    <row r="2012" ht="13.95" customHeight="1" x14ac:dyDescent="0.3"/>
    <row r="2013" ht="13.95" customHeight="1" x14ac:dyDescent="0.3"/>
    <row r="2014" ht="13.95" customHeight="1" x14ac:dyDescent="0.3"/>
    <row r="2015" ht="13.95" customHeight="1" x14ac:dyDescent="0.3"/>
    <row r="2016" ht="13.95" customHeight="1" x14ac:dyDescent="0.3"/>
    <row r="2017" ht="13.95" customHeight="1" x14ac:dyDescent="0.3"/>
    <row r="2018" ht="13.95" customHeight="1" x14ac:dyDescent="0.3"/>
    <row r="2019" ht="13.95" customHeight="1" x14ac:dyDescent="0.3"/>
    <row r="2020" ht="13.95" customHeight="1" x14ac:dyDescent="0.3"/>
    <row r="2021" ht="13.95" customHeight="1" x14ac:dyDescent="0.3"/>
    <row r="2022" ht="13.95" customHeight="1" x14ac:dyDescent="0.3"/>
    <row r="2023" ht="13.95" customHeight="1" x14ac:dyDescent="0.3"/>
    <row r="2024" ht="13.95" customHeight="1" x14ac:dyDescent="0.3"/>
    <row r="2025" ht="13.95" customHeight="1" x14ac:dyDescent="0.3"/>
    <row r="2026" ht="13.95" customHeight="1" x14ac:dyDescent="0.3"/>
    <row r="2027" ht="13.95" customHeight="1" x14ac:dyDescent="0.3"/>
    <row r="2028" ht="13.95" customHeight="1" x14ac:dyDescent="0.3"/>
    <row r="2029" ht="13.95" customHeight="1" x14ac:dyDescent="0.3"/>
    <row r="2030" ht="13.95" customHeight="1" x14ac:dyDescent="0.3"/>
    <row r="2031" ht="13.95" customHeight="1" x14ac:dyDescent="0.3"/>
    <row r="2032" ht="13.95" customHeight="1" x14ac:dyDescent="0.3"/>
    <row r="2033" ht="13.95" customHeight="1" x14ac:dyDescent="0.3"/>
    <row r="2034" ht="13.95" customHeight="1" x14ac:dyDescent="0.3"/>
    <row r="2035" ht="13.95" customHeight="1" x14ac:dyDescent="0.3"/>
    <row r="2036" ht="13.95" customHeight="1" x14ac:dyDescent="0.3"/>
    <row r="2037" ht="13.95" customHeight="1" x14ac:dyDescent="0.3"/>
    <row r="2038" ht="13.95" customHeight="1" x14ac:dyDescent="0.3"/>
    <row r="2039" ht="13.95" customHeight="1" x14ac:dyDescent="0.3"/>
    <row r="2040" ht="13.95" customHeight="1" x14ac:dyDescent="0.3"/>
    <row r="2041" ht="13.95" customHeight="1" x14ac:dyDescent="0.3"/>
    <row r="2042" ht="13.95" customHeight="1" x14ac:dyDescent="0.3"/>
    <row r="2043" ht="13.95" customHeight="1" x14ac:dyDescent="0.3"/>
    <row r="2044" ht="13.95" customHeight="1" x14ac:dyDescent="0.3"/>
    <row r="2045" ht="13.95" customHeight="1" x14ac:dyDescent="0.3"/>
    <row r="2046" ht="13.95" customHeight="1" x14ac:dyDescent="0.3"/>
    <row r="2047" ht="13.95" customHeight="1" x14ac:dyDescent="0.3"/>
    <row r="2048" ht="13.95" customHeight="1" x14ac:dyDescent="0.3"/>
    <row r="2049" ht="13.95" customHeight="1" x14ac:dyDescent="0.3"/>
    <row r="2050" ht="13.95" customHeight="1" x14ac:dyDescent="0.3"/>
    <row r="2051" ht="13.95" customHeight="1" x14ac:dyDescent="0.3"/>
    <row r="2052" ht="13.95" customHeight="1" x14ac:dyDescent="0.3"/>
    <row r="2053" ht="13.95" customHeight="1" x14ac:dyDescent="0.3"/>
    <row r="2054" ht="13.95" customHeight="1" x14ac:dyDescent="0.3"/>
    <row r="2055" ht="13.95" customHeight="1" x14ac:dyDescent="0.3"/>
    <row r="2056" ht="13.95" customHeight="1" x14ac:dyDescent="0.3"/>
    <row r="2057" ht="13.95" customHeight="1" x14ac:dyDescent="0.3"/>
    <row r="2058" ht="13.95" customHeight="1" x14ac:dyDescent="0.3"/>
    <row r="2059" ht="13.95" customHeight="1" x14ac:dyDescent="0.3"/>
    <row r="2060" ht="13.95" customHeight="1" x14ac:dyDescent="0.3"/>
    <row r="2061" ht="13.95" customHeight="1" x14ac:dyDescent="0.3"/>
    <row r="2062" ht="13.95" customHeight="1" x14ac:dyDescent="0.3"/>
    <row r="2063" ht="13.95" customHeight="1" x14ac:dyDescent="0.3"/>
    <row r="2064" ht="13.95" customHeight="1" x14ac:dyDescent="0.3"/>
    <row r="2065" ht="13.95" customHeight="1" x14ac:dyDescent="0.3"/>
    <row r="2066" ht="13.95" customHeight="1" x14ac:dyDescent="0.3"/>
    <row r="2067" ht="13.95" customHeight="1" x14ac:dyDescent="0.3"/>
    <row r="2068" ht="13.95" customHeight="1" x14ac:dyDescent="0.3"/>
    <row r="2069" ht="13.95" customHeight="1" x14ac:dyDescent="0.3"/>
    <row r="2070" ht="13.95" customHeight="1" x14ac:dyDescent="0.3"/>
    <row r="2071" ht="13.95" customHeight="1" x14ac:dyDescent="0.3"/>
    <row r="2072" ht="13.95" customHeight="1" x14ac:dyDescent="0.3"/>
    <row r="2073" ht="13.95" customHeight="1" x14ac:dyDescent="0.3"/>
    <row r="2074" ht="13.95" customHeight="1" x14ac:dyDescent="0.3"/>
    <row r="2075" ht="13.95" customHeight="1" x14ac:dyDescent="0.3"/>
    <row r="2076" ht="13.95" customHeight="1" x14ac:dyDescent="0.3"/>
    <row r="2077" ht="13.95" customHeight="1" x14ac:dyDescent="0.3"/>
    <row r="2078" ht="13.95" customHeight="1" x14ac:dyDescent="0.3"/>
    <row r="2079" ht="13.95" customHeight="1" x14ac:dyDescent="0.3"/>
    <row r="2080" ht="13.95" customHeight="1" x14ac:dyDescent="0.3"/>
    <row r="2081" ht="13.95" customHeight="1" x14ac:dyDescent="0.3"/>
    <row r="2082" ht="13.95" customHeight="1" x14ac:dyDescent="0.3"/>
    <row r="2083" ht="13.95" customHeight="1" x14ac:dyDescent="0.3"/>
    <row r="2084" ht="13.95" customHeight="1" x14ac:dyDescent="0.3"/>
    <row r="2085" ht="13.95" customHeight="1" x14ac:dyDescent="0.3"/>
    <row r="2086" ht="13.95" customHeight="1" x14ac:dyDescent="0.3"/>
    <row r="2087" ht="13.95" customHeight="1" x14ac:dyDescent="0.3"/>
    <row r="2088" ht="13.95" customHeight="1" x14ac:dyDescent="0.3"/>
    <row r="2089" ht="13.95" customHeight="1" x14ac:dyDescent="0.3"/>
    <row r="2090" ht="13.95" customHeight="1" x14ac:dyDescent="0.3"/>
    <row r="2091" ht="13.95" customHeight="1" x14ac:dyDescent="0.3"/>
    <row r="2092" ht="13.95" customHeight="1" x14ac:dyDescent="0.3"/>
    <row r="2093" ht="13.95" customHeight="1" x14ac:dyDescent="0.3"/>
  </sheetData>
  <sheetProtection algorithmName="SHA-512" hashValue="7j5tP2penqeZc/VaQOkGgVEM1GFVjEPPkHxHcz3YwwC49cCVUCXISbJrlHsPxaVoomP4sbX5miTGy/hmjTlh2Q==" saltValue="y9cfjgFCHReUb1shGwwCHg=="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0" tint="-0.34998626667073579"/>
  </sheetPr>
  <dimension ref="A1:AA196"/>
  <sheetViews>
    <sheetView topLeftCell="E1" zoomScale="61" zoomScaleNormal="130" workbookViewId="0">
      <pane ySplit="3" topLeftCell="A4" activePane="bottomLeft" state="frozen"/>
      <selection pane="bottomLeft" activeCell="F21" sqref="F21"/>
    </sheetView>
  </sheetViews>
  <sheetFormatPr defaultRowHeight="13.95" customHeight="1" x14ac:dyDescent="0.3"/>
  <cols>
    <col min="1" max="4" width="2.33203125" customWidth="1"/>
    <col min="5" max="5" width="67.33203125" customWidth="1"/>
    <col min="6" max="6" width="12.109375" customWidth="1"/>
    <col min="7" max="7" width="16.109375" customWidth="1"/>
    <col min="8" max="8" width="11" bestFit="1" customWidth="1"/>
    <col min="9" max="9" width="17.88671875" customWidth="1"/>
    <col min="10" max="10" width="17.109375" customWidth="1"/>
    <col min="11" max="11" width="12.44140625" bestFit="1" customWidth="1"/>
    <col min="14" max="15" width="14.33203125" customWidth="1"/>
    <col min="18" max="19" width="9.77734375" bestFit="1" customWidth="1"/>
    <col min="22" max="22" width="10.6640625" customWidth="1"/>
    <col min="23" max="23" width="11.33203125" customWidth="1"/>
    <col min="24" max="24" width="11.109375" customWidth="1"/>
  </cols>
  <sheetData>
    <row r="1" spans="1:27" s="5" customFormat="1" ht="14.4" x14ac:dyDescent="0.3">
      <c r="A1" s="4" t="s">
        <v>19</v>
      </c>
    </row>
    <row r="2" spans="1:27" s="5" customFormat="1" ht="14.4" x14ac:dyDescent="0.3">
      <c r="A2" s="4"/>
    </row>
    <row r="3" spans="1:27" s="5" customFormat="1" ht="14.4" x14ac:dyDescent="0.3">
      <c r="E3" s="5" t="s">
        <v>21</v>
      </c>
      <c r="F3" s="5" t="s">
        <v>22</v>
      </c>
      <c r="G3" s="5" t="s">
        <v>23</v>
      </c>
      <c r="H3" s="5" t="s">
        <v>35</v>
      </c>
      <c r="J3" s="5" t="s">
        <v>36</v>
      </c>
    </row>
    <row r="4" spans="1:27" s="9" customFormat="1" ht="14.4" x14ac:dyDescent="0.3">
      <c r="A4" s="8"/>
    </row>
    <row r="5" spans="1:27" s="124" customFormat="1" ht="14.4" x14ac:dyDescent="0.3">
      <c r="A5" s="125" t="s">
        <v>1549</v>
      </c>
    </row>
    <row r="7" spans="1:27" ht="13.95" customHeight="1" x14ac:dyDescent="0.3">
      <c r="F7" s="202" t="s">
        <v>1592</v>
      </c>
      <c r="G7" s="202"/>
      <c r="J7" s="207" t="s">
        <v>1588</v>
      </c>
      <c r="K7" s="207"/>
      <c r="N7" s="210" t="s">
        <v>1176</v>
      </c>
      <c r="O7" s="210"/>
      <c r="R7" s="212" t="s">
        <v>1178</v>
      </c>
      <c r="S7" s="212"/>
    </row>
    <row r="8" spans="1:27" ht="13.95" customHeight="1" x14ac:dyDescent="0.3">
      <c r="F8" s="49" t="s">
        <v>1111</v>
      </c>
      <c r="G8" s="49" t="s">
        <v>1112</v>
      </c>
      <c r="J8" s="49" t="s">
        <v>1111</v>
      </c>
      <c r="K8" s="49" t="s">
        <v>1112</v>
      </c>
      <c r="N8" s="49" t="s">
        <v>1111</v>
      </c>
      <c r="O8" s="49" t="s">
        <v>1177</v>
      </c>
      <c r="R8" s="49" t="s">
        <v>1111</v>
      </c>
      <c r="S8" s="49" t="s">
        <v>1177</v>
      </c>
    </row>
    <row r="9" spans="1:27" ht="13.95" customHeight="1" x14ac:dyDescent="0.3">
      <c r="E9" s="214" t="s">
        <v>1591</v>
      </c>
      <c r="F9" s="203">
        <f>ROUND(F24+F25+F26+F27+F30,-3)</f>
        <v>995000</v>
      </c>
      <c r="G9" s="204">
        <f>ROUND(SUM(F76,F77,F78,F79,F82),-3)</f>
        <v>995000</v>
      </c>
      <c r="I9" t="s">
        <v>1595</v>
      </c>
      <c r="J9" s="207">
        <f>ROUND(F39 +  F$40,-5)</f>
        <v>33400000</v>
      </c>
      <c r="K9" s="208">
        <f>ROUND(F93 + F$94,-5)</f>
        <v>33400000</v>
      </c>
      <c r="M9" t="s">
        <v>1550</v>
      </c>
      <c r="N9" s="210">
        <f>ROUND(  F$41,-2)</f>
        <v>21500</v>
      </c>
      <c r="O9" s="211">
        <f xml:space="preserve"> ROUND( F$95,-2)</f>
        <v>21500</v>
      </c>
      <c r="Q9" t="s">
        <v>1550</v>
      </c>
      <c r="R9" s="212">
        <f>ROUND(  F$42,-3)</f>
        <v>1154000</v>
      </c>
      <c r="S9" s="213">
        <f>ROUND(  F$96,-3)</f>
        <v>1154000</v>
      </c>
      <c r="AA9" s="132"/>
    </row>
    <row r="10" spans="1:27" ht="13.95" customHeight="1" x14ac:dyDescent="0.3">
      <c r="E10" s="214" t="s">
        <v>1179</v>
      </c>
      <c r="F10" s="203">
        <f>ROUND(F28+F29,-3)</f>
        <v>172000</v>
      </c>
      <c r="G10" s="204">
        <f>ROUND(F80+F81,-3)</f>
        <v>172000</v>
      </c>
      <c r="I10" t="s">
        <v>1596</v>
      </c>
      <c r="J10" s="207">
        <f>ROUND( F44 + F$45,-5)</f>
        <v>5800000</v>
      </c>
      <c r="K10" s="208">
        <f>ROUND(F98 +  F$99,-5)</f>
        <v>5800000</v>
      </c>
      <c r="M10" t="s">
        <v>1561</v>
      </c>
      <c r="N10" s="210">
        <f>ROUND(  F$46,-2)</f>
        <v>3700</v>
      </c>
      <c r="O10" s="211">
        <f>ROUND(  F$100,-2)</f>
        <v>3700</v>
      </c>
      <c r="Q10" t="s">
        <v>1561</v>
      </c>
      <c r="R10" s="212">
        <f xml:space="preserve"> ROUND( F$47,-4)</f>
        <v>200000</v>
      </c>
      <c r="S10" s="213">
        <f>ROUND(  F$101,-4)</f>
        <v>200000</v>
      </c>
    </row>
    <row r="11" spans="1:27" ht="13.95" customHeight="1" x14ac:dyDescent="0.3">
      <c r="E11" s="214" t="s">
        <v>1593</v>
      </c>
      <c r="F11" s="203">
        <f>ROUND(SUM(F32,F33,F34,F35),-2)</f>
        <v>3000</v>
      </c>
      <c r="G11" s="204">
        <f>ROUND(SUM(F86,F87,F88,F89),-2)</f>
        <v>3000</v>
      </c>
      <c r="I11" t="s">
        <v>1551</v>
      </c>
      <c r="J11" s="207">
        <f>ROUND( F49 + F$50,-5)</f>
        <v>300000</v>
      </c>
      <c r="K11" s="208">
        <f>ROUND(F103 +  F$104,-5)</f>
        <v>300000</v>
      </c>
      <c r="M11" t="s">
        <v>1551</v>
      </c>
      <c r="N11" s="210">
        <f xml:space="preserve"> ROUND( F$51,-2)</f>
        <v>0</v>
      </c>
      <c r="O11" s="211">
        <f>ROUND(  F$105,-2)</f>
        <v>0</v>
      </c>
      <c r="Q11" t="s">
        <v>1551</v>
      </c>
      <c r="R11" s="212">
        <f>ROUND(  F$52,-3)</f>
        <v>9000</v>
      </c>
      <c r="S11" s="213">
        <f>ROUND(  F$106,-3)</f>
        <v>9000</v>
      </c>
    </row>
    <row r="12" spans="1:27" ht="13.95" customHeight="1" x14ac:dyDescent="0.3">
      <c r="E12" s="214" t="s">
        <v>1594</v>
      </c>
      <c r="F12" s="203">
        <f>ROUND(SUM(F36,F37),-2)</f>
        <v>0</v>
      </c>
      <c r="G12" s="204">
        <f>ROUND(SUM(F90,F91),-2)</f>
        <v>0</v>
      </c>
      <c r="I12" t="s">
        <v>1180</v>
      </c>
      <c r="J12" s="207">
        <f xml:space="preserve"> ROUND(F54 + F$55,-5)</f>
        <v>2200000</v>
      </c>
      <c r="K12" s="208">
        <f>ROUND(F108 +  F$109,-5)</f>
        <v>2200000</v>
      </c>
      <c r="M12" t="s">
        <v>1180</v>
      </c>
      <c r="N12" s="210">
        <f>ROUND(  F$56,-2)</f>
        <v>400</v>
      </c>
      <c r="O12" s="211">
        <f>ROUND(  F$110,-2)</f>
        <v>400</v>
      </c>
      <c r="Q12" t="s">
        <v>1180</v>
      </c>
      <c r="R12" s="212">
        <f>ROUND(  F$57,-3)</f>
        <v>139000</v>
      </c>
      <c r="S12" s="213">
        <f>ROUND(  F$111,-3)</f>
        <v>139000</v>
      </c>
    </row>
    <row r="13" spans="1:27" ht="13.95" customHeight="1" x14ac:dyDescent="0.3">
      <c r="E13" s="214" t="s">
        <v>1607</v>
      </c>
      <c r="F13" s="127"/>
      <c r="G13" s="204">
        <f>ROUND(F83,-1)</f>
        <v>0</v>
      </c>
      <c r="I13" t="s">
        <v>1181</v>
      </c>
      <c r="J13" s="207">
        <f>ROUND( F59 + F$60,-5)</f>
        <v>1600000</v>
      </c>
      <c r="K13" s="208">
        <f>ROUND(F113 +  F$114,-5)</f>
        <v>1600000</v>
      </c>
      <c r="M13" t="s">
        <v>1181</v>
      </c>
      <c r="N13" s="210">
        <f>ROUND(  F$61,-2)</f>
        <v>300</v>
      </c>
      <c r="O13" s="211">
        <f>ROUND(  F$115,-2)</f>
        <v>300</v>
      </c>
      <c r="Q13" t="s">
        <v>1181</v>
      </c>
      <c r="R13" s="212">
        <f>ROUND(  F$62,-4)</f>
        <v>100000</v>
      </c>
      <c r="S13" s="213">
        <f>ROUND(  F$116,-4)</f>
        <v>100000</v>
      </c>
    </row>
    <row r="14" spans="1:27" ht="13.95" customHeight="1" x14ac:dyDescent="0.3">
      <c r="E14" s="214" t="s">
        <v>1608</v>
      </c>
      <c r="F14" s="127"/>
      <c r="G14" s="204">
        <f>ROUND(F84,-2)</f>
        <v>0</v>
      </c>
      <c r="I14" t="s">
        <v>1182</v>
      </c>
      <c r="J14" s="207">
        <f>ROUND(F64 +  F$65,-5)</f>
        <v>-23000000</v>
      </c>
      <c r="K14" s="208">
        <f>ROUND(F118 +  F$119,-5)</f>
        <v>-23000000</v>
      </c>
      <c r="M14" t="s">
        <v>1182</v>
      </c>
      <c r="N14" s="210">
        <f>ROUND(  F$66,-2)</f>
        <v>-3400</v>
      </c>
      <c r="O14" s="211">
        <f>ROUND(  F$120,-2)</f>
        <v>-3400</v>
      </c>
      <c r="Q14" t="s">
        <v>1182</v>
      </c>
      <c r="R14" s="212">
        <f>ROUND(  F$67,-4)</f>
        <v>-260000</v>
      </c>
      <c r="S14" s="213">
        <f>ROUND(  F$121,-4)</f>
        <v>-260000</v>
      </c>
    </row>
    <row r="15" spans="1:27" ht="13.95" customHeight="1" x14ac:dyDescent="0.3">
      <c r="E15" s="214"/>
      <c r="F15" s="127"/>
      <c r="G15" s="127"/>
      <c r="I15" t="s">
        <v>1183</v>
      </c>
      <c r="J15" s="207">
        <f>ROUND(F69 +  F$70,-4)</f>
        <v>-140000</v>
      </c>
      <c r="K15" s="208">
        <f>ROUND(F123 +  F$124,-4)</f>
        <v>-140000</v>
      </c>
      <c r="M15" t="s">
        <v>1183</v>
      </c>
      <c r="N15" s="210">
        <f>ROUND(  F$71,-1)</f>
        <v>10</v>
      </c>
      <c r="O15" s="211">
        <f>ROUND(  F$125,-1)</f>
        <v>10</v>
      </c>
      <c r="Q15" t="s">
        <v>1183</v>
      </c>
      <c r="R15" s="212">
        <f>ROUND(  F$72,-3)</f>
        <v>-1000</v>
      </c>
      <c r="S15" s="213">
        <f>ROUND(  F$126,-3)</f>
        <v>-1000</v>
      </c>
    </row>
    <row r="16" spans="1:27" ht="13.95" customHeight="1" x14ac:dyDescent="0.3">
      <c r="E16" s="214"/>
      <c r="F16" s="128"/>
      <c r="G16" s="127"/>
      <c r="I16" t="s">
        <v>1589</v>
      </c>
      <c r="J16" s="128"/>
      <c r="K16" s="208">
        <f>ROUND(F128 +  F$129,-2)</f>
        <v>0</v>
      </c>
      <c r="M16" t="s">
        <v>1589</v>
      </c>
      <c r="N16" s="128"/>
      <c r="O16" s="211">
        <f>ROUND( F$130,-1)</f>
        <v>0</v>
      </c>
      <c r="Q16" t="s">
        <v>1589</v>
      </c>
      <c r="R16" s="128"/>
      <c r="S16" s="213">
        <f>ROUND(  F$131,-2)</f>
        <v>0</v>
      </c>
    </row>
    <row r="17" spans="1:24" ht="13.95" customHeight="1" x14ac:dyDescent="0.3">
      <c r="E17" s="214"/>
      <c r="F17" s="128"/>
      <c r="G17" s="127"/>
      <c r="I17" t="s">
        <v>1590</v>
      </c>
      <c r="J17" s="128"/>
      <c r="K17" s="208">
        <f>ROUND(F133 +  F$134,-2)</f>
        <v>0</v>
      </c>
      <c r="M17" t="s">
        <v>1590</v>
      </c>
      <c r="N17" s="128"/>
      <c r="O17" s="211">
        <f>ROUND(  F$135,-1)</f>
        <v>0</v>
      </c>
      <c r="Q17" t="s">
        <v>1590</v>
      </c>
      <c r="R17" s="128"/>
      <c r="S17" s="213">
        <f>ROUND(  F$136,-2)</f>
        <v>0</v>
      </c>
    </row>
    <row r="18" spans="1:24" ht="13.95" customHeight="1" x14ac:dyDescent="0.3">
      <c r="E18" s="214"/>
      <c r="F18" s="128"/>
      <c r="G18" s="127"/>
      <c r="I18" t="s">
        <v>1184</v>
      </c>
      <c r="J18" s="128"/>
      <c r="K18" s="208">
        <f>ROUND(F138 +  F$139,-2)</f>
        <v>0</v>
      </c>
      <c r="M18" t="s">
        <v>1184</v>
      </c>
      <c r="N18" s="128"/>
      <c r="O18" s="211">
        <f xml:space="preserve"> ROUND( F$140,-2)</f>
        <v>0</v>
      </c>
      <c r="Q18" t="s">
        <v>1184</v>
      </c>
      <c r="R18" s="128"/>
      <c r="S18" s="213">
        <f>ROUND(  F$141,-2)</f>
        <v>0</v>
      </c>
    </row>
    <row r="19" spans="1:24" ht="13.95" customHeight="1" x14ac:dyDescent="0.3">
      <c r="E19" s="214"/>
      <c r="X19" s="128"/>
    </row>
    <row r="20" spans="1:24" ht="13.95" customHeight="1" x14ac:dyDescent="0.3">
      <c r="E20" s="214" t="s">
        <v>1185</v>
      </c>
      <c r="F20" s="206">
        <f>SUM(F9:F18)</f>
        <v>1170000</v>
      </c>
      <c r="G20" s="205">
        <f>SUM(G9:G18)</f>
        <v>1170000</v>
      </c>
      <c r="J20" s="207">
        <f>SUM(J9:J18)</f>
        <v>20160000</v>
      </c>
      <c r="K20" s="209">
        <f>SUM(K9:K18)</f>
        <v>20160000</v>
      </c>
      <c r="N20" s="210">
        <f>SUM(N9:N18)</f>
        <v>22510</v>
      </c>
      <c r="O20" s="211">
        <f>SUM(O9:O18)</f>
        <v>22510</v>
      </c>
      <c r="R20" s="212">
        <f>SUM(R9:R18)</f>
        <v>1341000</v>
      </c>
      <c r="S20" s="213">
        <f>SUM(S9:S18)</f>
        <v>1341000</v>
      </c>
    </row>
    <row r="21" spans="1:24" ht="13.95" customHeight="1" x14ac:dyDescent="0.3">
      <c r="F21" s="128"/>
      <c r="G21" s="128"/>
      <c r="J21" s="128"/>
      <c r="K21" s="128"/>
      <c r="N21" s="128"/>
      <c r="O21" s="128"/>
      <c r="R21" s="128"/>
      <c r="S21" s="128"/>
    </row>
    <row r="22" spans="1:24" s="124" customFormat="1" ht="14.4" x14ac:dyDescent="0.3">
      <c r="A22" s="125" t="s">
        <v>1100</v>
      </c>
    </row>
    <row r="23" spans="1:24" ht="14.4" x14ac:dyDescent="0.3"/>
    <row r="24" spans="1:24" ht="14.4" x14ac:dyDescent="0.3">
      <c r="E24" s="46" t="str">
        <f xml:space="preserve"> 'Berekeningen (huidig)'!F$221</f>
        <v>Jaarlijkse gewicht virgin ong. recl., ongeadresseerd normaal (kg)</v>
      </c>
      <c r="F24" s="130">
        <f xml:space="preserve"> 'Berekeningen (huidig)'!G$221</f>
        <v>0</v>
      </c>
      <c r="G24" s="46" t="str">
        <f xml:space="preserve"> 'Berekeningen (huidig)'!H$221</f>
        <v>kg / jaar</v>
      </c>
    </row>
    <row r="25" spans="1:24" ht="14.4" x14ac:dyDescent="0.3">
      <c r="E25" s="46" t="str">
        <f xml:space="preserve"> 'Berekeningen (huidig)'!F$222</f>
        <v>Jaarlijkse gewicht recycled ong. recl., ongeadresseerd normaal (kg)</v>
      </c>
      <c r="F25" s="130">
        <f xml:space="preserve"> 'Berekeningen (huidig)'!G$222</f>
        <v>936000</v>
      </c>
      <c r="G25" s="46" t="str">
        <f xml:space="preserve"> 'Berekeningen (huidig)'!H$222</f>
        <v>kg / jaar</v>
      </c>
    </row>
    <row r="26" spans="1:24" ht="14.4" x14ac:dyDescent="0.3">
      <c r="E26" s="46" t="str">
        <f xml:space="preserve"> 'Berekeningen (huidig)'!F$226</f>
        <v>Jaarlijkse gewicht virgin ong. recl., geadresseerd selectie (kg)</v>
      </c>
      <c r="F26" s="130">
        <f xml:space="preserve"> 'Berekeningen (huidig)'!G$226</f>
        <v>0</v>
      </c>
      <c r="G26" s="46" t="str">
        <f xml:space="preserve"> 'Berekeningen (huidig)'!H$226</f>
        <v>kg / jaar</v>
      </c>
    </row>
    <row r="27" spans="1:24" ht="14.4" x14ac:dyDescent="0.3">
      <c r="E27" s="46" t="str">
        <f xml:space="preserve"> 'Berekeningen (huidig)'!F$227</f>
        <v>Jaarlijkse gewicht recycled ong. recl., geadresseerd selectie (kg)</v>
      </c>
      <c r="F27" s="130">
        <f xml:space="preserve"> 'Berekeningen (huidig)'!G$227</f>
        <v>3587.5840000000003</v>
      </c>
      <c r="G27" s="46" t="str">
        <f xml:space="preserve"> 'Berekeningen (huidig)'!H$227</f>
        <v>kg / jaar</v>
      </c>
    </row>
    <row r="28" spans="1:24" ht="14.4" x14ac:dyDescent="0.3">
      <c r="E28" s="46" t="str">
        <f xml:space="preserve"> 'Berekeningen (huidig)'!F$231</f>
        <v>Jaarlijkse gewicht virgin papier, huis-aan-huis (kg)</v>
      </c>
      <c r="F28" s="130">
        <f xml:space="preserve"> 'Berekeningen (huidig)'!G$231</f>
        <v>0</v>
      </c>
      <c r="G28" s="46" t="str">
        <f xml:space="preserve"> 'Berekeningen (huidig)'!H$231</f>
        <v>kg / jaar</v>
      </c>
    </row>
    <row r="29" spans="1:24" ht="14.4" x14ac:dyDescent="0.3">
      <c r="E29" s="46" t="str">
        <f xml:space="preserve"> 'Berekeningen (huidig)'!F$232</f>
        <v>Jaarlijkse gewicht recycled papier, huis-aan-huis (kg)</v>
      </c>
      <c r="F29" s="130">
        <f xml:space="preserve"> 'Berekeningen (huidig)'!G$232</f>
        <v>172380</v>
      </c>
      <c r="G29" s="46" t="str">
        <f xml:space="preserve"> 'Berekeningen (huidig)'!H$232</f>
        <v>kg / jaar</v>
      </c>
    </row>
    <row r="30" spans="1:24" ht="14.4" x14ac:dyDescent="0.3">
      <c r="E30" s="46" t="str">
        <f xml:space="preserve"> 'Berekeningen (huidig)'!F$236</f>
        <v>Jaarlijkse gewicht opslag lokale folders (kg), recycled</v>
      </c>
      <c r="F30" s="130">
        <f xml:space="preserve"> 'Berekeningen (huidig)'!G$236</f>
        <v>55598.379200000003</v>
      </c>
      <c r="G30" s="46" t="str">
        <f xml:space="preserve"> 'Berekeningen (huidig)'!H$236</f>
        <v>kg / jaar</v>
      </c>
    </row>
    <row r="31" spans="1:24" ht="14.4" x14ac:dyDescent="0.3">
      <c r="E31" s="46"/>
      <c r="F31" s="130"/>
      <c r="G31" s="46"/>
    </row>
    <row r="32" spans="1:24" ht="14.4" x14ac:dyDescent="0.3">
      <c r="E32" s="46" t="str">
        <f xml:space="preserve"> 'Berekeningen (huidig)'!F$223</f>
        <v>Jaarlijkse gewicht virgin plastic, ongeadresseerd normaal (kg)</v>
      </c>
      <c r="F32" s="130">
        <f xml:space="preserve"> 'Berekeningen (huidig)'!G$223</f>
        <v>2808</v>
      </c>
      <c r="G32" s="46" t="str">
        <f xml:space="preserve"> 'Berekeningen (huidig)'!H$223</f>
        <v>kg / jaar</v>
      </c>
    </row>
    <row r="33" spans="5:8" ht="14.4" x14ac:dyDescent="0.3">
      <c r="E33" s="46" t="str">
        <f xml:space="preserve"> 'Berekeningen (huidig)'!F$224</f>
        <v>Jaarlijkse gewicht recycled plastic, ongeadresseerd normaal (kg)</v>
      </c>
      <c r="F33" s="130">
        <f xml:space="preserve"> 'Berekeningen (huidig)'!G$224</f>
        <v>0</v>
      </c>
      <c r="G33" s="46" t="str">
        <f xml:space="preserve"> 'Berekeningen (huidig)'!H$224</f>
        <v>kg / jaar</v>
      </c>
    </row>
    <row r="34" spans="5:8" ht="14.4" x14ac:dyDescent="0.3">
      <c r="E34" s="46" t="str">
        <f xml:space="preserve"> 'Berekeningen (huidig)'!F$228</f>
        <v>Jaarlijkse gewicht virgin plastic, geadresseerd selectie (kg)</v>
      </c>
      <c r="F34" s="130">
        <f xml:space="preserve"> 'Berekeningen (huidig)'!G$228</f>
        <v>160.16</v>
      </c>
      <c r="G34" s="46" t="str">
        <f xml:space="preserve"> 'Berekeningen (huidig)'!H$228</f>
        <v>kg / jaar</v>
      </c>
    </row>
    <row r="35" spans="5:8" ht="14.4" x14ac:dyDescent="0.3">
      <c r="E35" s="46" t="str">
        <f xml:space="preserve"> 'Berekeningen (huidig)'!F$229</f>
        <v>Jaarlijkse gewicht recycled plastic, geadresseerd selectie (kg)</v>
      </c>
      <c r="F35" s="130">
        <f xml:space="preserve"> 'Berekeningen (huidig)'!G$229</f>
        <v>0</v>
      </c>
      <c r="G35" s="46" t="str">
        <f xml:space="preserve"> 'Berekeningen (huidig)'!H$229</f>
        <v>kg / jaar</v>
      </c>
    </row>
    <row r="36" spans="5:8" ht="14.4" x14ac:dyDescent="0.3">
      <c r="E36" s="46" t="str">
        <f xml:space="preserve"> 'Berekeningen (huidig)'!F$233</f>
        <v>Jaarlijkse gewicht virgin plastic, huis-aan-huis (kg)</v>
      </c>
      <c r="F36" s="130">
        <f xml:space="preserve"> 'Berekeningen (huidig)'!G$233</f>
        <v>0</v>
      </c>
      <c r="G36" s="46" t="str">
        <f xml:space="preserve"> 'Berekeningen (huidig)'!H$233</f>
        <v>kg / jaar</v>
      </c>
    </row>
    <row r="37" spans="5:8" ht="14.4" x14ac:dyDescent="0.3">
      <c r="E37" s="46" t="str">
        <f xml:space="preserve"> 'Berekeningen (huidig)'!F$234</f>
        <v>Jaarlijkse gewicht recycled plastic, huis-aan-huis (kg)</v>
      </c>
      <c r="F37" s="130">
        <f xml:space="preserve"> 'Berekeningen (huidig)'!G$234</f>
        <v>0</v>
      </c>
      <c r="G37" s="46" t="str">
        <f xml:space="preserve"> 'Berekeningen (huidig)'!H$234</f>
        <v>kg / jaar</v>
      </c>
    </row>
    <row r="38" spans="5:8" ht="14.4" x14ac:dyDescent="0.3"/>
    <row r="39" spans="5:8" ht="14.4" x14ac:dyDescent="0.3">
      <c r="E39" s="46" t="str">
        <f xml:space="preserve"> 'Berekeningen (huidig)'!F$315</f>
        <v>Impact papier, ong. + geadr. recl. per jaar, hernieuwbare energie</v>
      </c>
      <c r="F39" s="130">
        <f xml:space="preserve"> 'Berekeningen (huidig)'!G$315</f>
        <v>13391192.097021496</v>
      </c>
      <c r="G39" s="46" t="str">
        <f xml:space="preserve"> 'Berekeningen (huidig)'!H$315</f>
        <v>MJ / jaar</v>
      </c>
      <c r="H39" s="130"/>
    </row>
    <row r="40" spans="5:8" ht="14.4" x14ac:dyDescent="0.3">
      <c r="E40" s="46" t="str">
        <f xml:space="preserve"> 'Berekeningen (huidig)'!F$316</f>
        <v>Impact papier, ong. + geadr. recl. per jaar, niet-hernieuwbare energie</v>
      </c>
      <c r="F40" s="130">
        <f xml:space="preserve"> 'Berekeningen (huidig)'!G$316</f>
        <v>20051066.49771139</v>
      </c>
      <c r="G40" s="46" t="str">
        <f xml:space="preserve"> 'Berekeningen (huidig)'!H$316</f>
        <v>MJ / jaar</v>
      </c>
    </row>
    <row r="41" spans="5:8" ht="14.4" x14ac:dyDescent="0.3">
      <c r="E41" s="46" t="str">
        <f xml:space="preserve"> 'Berekeningen (huidig)'!F$317</f>
        <v>Impact papier, ong. + geadr. recl. per jaar, water</v>
      </c>
      <c r="F41" s="130">
        <f xml:space="preserve"> 'Berekeningen (huidig)'!G$317</f>
        <v>21527.862755942399</v>
      </c>
      <c r="G41" s="46" t="str">
        <f xml:space="preserve"> 'Berekeningen (huidig)'!H$317</f>
        <v>M3 / jaar</v>
      </c>
    </row>
    <row r="42" spans="5:8" ht="14.4" x14ac:dyDescent="0.3">
      <c r="E42" s="46" t="str">
        <f xml:space="preserve"> 'Berekeningen (huidig)'!F$318</f>
        <v>Impact papier, ong. + geadr. recl. per jaar, GWP100</v>
      </c>
      <c r="F42" s="130">
        <f xml:space="preserve"> 'Berekeningen (huidig)'!G$318</f>
        <v>1153520.04994512</v>
      </c>
      <c r="G42" s="46" t="str">
        <f xml:space="preserve"> 'Berekeningen (huidig)'!H$318</f>
        <v>kg CO2-eq / jaar</v>
      </c>
    </row>
    <row r="43" spans="5:8" ht="14.4" x14ac:dyDescent="0.3"/>
    <row r="44" spans="5:8" ht="14.4" x14ac:dyDescent="0.3">
      <c r="E44" s="46" t="str">
        <f xml:space="preserve"> 'Berekeningen (huidig)'!F$385</f>
        <v>Impact papier, HAH. per jaar, hernieuwbare energie</v>
      </c>
      <c r="F44" s="106">
        <f xml:space="preserve"> 'Berekeningen (huidig)'!G$385</f>
        <v>2319540.0448193997</v>
      </c>
      <c r="G44" s="46" t="str">
        <f xml:space="preserve"> 'Berekeningen (huidig)'!H$385</f>
        <v>MJ / jaar</v>
      </c>
    </row>
    <row r="45" spans="5:8" ht="14.4" x14ac:dyDescent="0.3">
      <c r="E45" s="46" t="str">
        <f xml:space="preserve"> 'Berekeningen (huidig)'!F$386</f>
        <v>Impact papier, HAH. per jaar, niet-hernieuwbare energie</v>
      </c>
      <c r="F45" s="106">
        <f xml:space="preserve"> 'Berekeningen (huidig)'!G$386</f>
        <v>3473122.5827999995</v>
      </c>
      <c r="G45" s="46" t="str">
        <f xml:space="preserve"> 'Berekeningen (huidig)'!H$386</f>
        <v>MJ / jaar</v>
      </c>
    </row>
    <row r="46" spans="5:8" ht="14.4" x14ac:dyDescent="0.3">
      <c r="E46" s="46" t="str">
        <f xml:space="preserve"> 'Berekeningen (huidig)'!F$387</f>
        <v>Impact papier, HAH. per jaar, water</v>
      </c>
      <c r="F46" s="106">
        <f xml:space="preserve"> 'Berekeningen (huidig)'!G$387</f>
        <v>3728.9241599999996</v>
      </c>
      <c r="G46" s="46" t="str">
        <f xml:space="preserve"> 'Berekeningen (huidig)'!H$387</f>
        <v>M3 / jaar</v>
      </c>
    </row>
    <row r="47" spans="5:8" ht="14.4" x14ac:dyDescent="0.3">
      <c r="E47" s="46" t="str">
        <f xml:space="preserve"> 'Berekeningen (huidig)'!F$388</f>
        <v>Impact papier, HAH. per jaar, GWP100</v>
      </c>
      <c r="F47" s="106">
        <f xml:space="preserve"> 'Berekeningen (huidig)'!G$388</f>
        <v>199805.658</v>
      </c>
      <c r="G47" s="46" t="str">
        <f xml:space="preserve"> 'Berekeningen (huidig)'!H$388</f>
        <v>kg CO2-eq / jaar</v>
      </c>
    </row>
    <row r="48" spans="5:8" ht="14.4" x14ac:dyDescent="0.3"/>
    <row r="49" spans="5:9" ht="14.4" x14ac:dyDescent="0.3">
      <c r="E49" s="46" t="str">
        <f xml:space="preserve"> 'Berekeningen (huidig)'!F$483</f>
        <v>Impact folie per jaar, hernieuwbare energie</v>
      </c>
      <c r="F49" s="106">
        <f xml:space="preserve"> 'Berekeningen (huidig)'!G$483</f>
        <v>10888.345013935999</v>
      </c>
      <c r="G49" s="46" t="str">
        <f xml:space="preserve"> 'Berekeningen (huidig)'!H$483</f>
        <v>MJ / jaar</v>
      </c>
    </row>
    <row r="50" spans="5:9" ht="14.4" x14ac:dyDescent="0.3">
      <c r="E50" s="46" t="str">
        <f xml:space="preserve"> 'Berekeningen (huidig)'!F$484</f>
        <v>Impact folie per jaar, niet-hernieuwbare energie</v>
      </c>
      <c r="F50" s="106">
        <f xml:space="preserve"> 'Berekeningen (huidig)'!G$484</f>
        <v>275955.22864353599</v>
      </c>
      <c r="G50" s="46" t="str">
        <f xml:space="preserve"> 'Berekeningen (huidig)'!H$484</f>
        <v>MJ / jaar</v>
      </c>
    </row>
    <row r="51" spans="5:9" ht="14.4" x14ac:dyDescent="0.3">
      <c r="E51" s="46" t="str">
        <f xml:space="preserve"> 'Berekeningen (huidig)'!F$485</f>
        <v>Impact folie per jaar, water</v>
      </c>
      <c r="F51" s="106">
        <f xml:space="preserve"> 'Berekeningen (huidig)'!G$485</f>
        <v>38.826500959999997</v>
      </c>
      <c r="G51" s="46" t="str">
        <f xml:space="preserve"> 'Berekeningen (huidig)'!H$485</f>
        <v>M3 / jaar</v>
      </c>
    </row>
    <row r="52" spans="5:9" ht="14.4" x14ac:dyDescent="0.3">
      <c r="E52" s="46" t="str">
        <f xml:space="preserve"> 'Berekeningen (huidig)'!F$486</f>
        <v>Impact folie per jaar, GWP100</v>
      </c>
      <c r="F52" s="106">
        <f xml:space="preserve"> 'Berekeningen (huidig)'!G$486</f>
        <v>9322.1001119999983</v>
      </c>
      <c r="G52" s="46" t="str">
        <f xml:space="preserve"> 'Berekeningen (huidig)'!H$486</f>
        <v>kg CO2-eq / jaar</v>
      </c>
    </row>
    <row r="53" spans="5:9" ht="14.4" x14ac:dyDescent="0.3"/>
    <row r="54" spans="5:9" ht="14.4" x14ac:dyDescent="0.3">
      <c r="E54" s="46" t="str">
        <f xml:space="preserve"> 'Berekeningen (huidig)'!F$650</f>
        <v>Impact vervoer, ong. recl. + geadr., hernieuwbare energie</v>
      </c>
      <c r="F54" s="106">
        <f xml:space="preserve"> 'Berekeningen (huidig)'!G$650</f>
        <v>50939.654460656835</v>
      </c>
      <c r="G54" s="46" t="str">
        <f xml:space="preserve"> 'Berekeningen (huidig)'!H$650</f>
        <v>MJ-eq</v>
      </c>
    </row>
    <row r="55" spans="5:9" ht="14.4" x14ac:dyDescent="0.3">
      <c r="E55" s="46" t="str">
        <f xml:space="preserve"> 'Berekeningen (huidig)'!F$651</f>
        <v>Impact vervoer, ong. recl. + geadr., niet-hernieuwbare energie</v>
      </c>
      <c r="F55" s="106">
        <f xml:space="preserve"> 'Berekeningen (huidig)'!G$651</f>
        <v>2179347.0047352598</v>
      </c>
      <c r="G55" s="46" t="str">
        <f xml:space="preserve"> 'Berekeningen (huidig)'!H$651</f>
        <v>MJ-eq</v>
      </c>
    </row>
    <row r="56" spans="5:9" ht="14.4" x14ac:dyDescent="0.3">
      <c r="E56" s="46" t="str">
        <f xml:space="preserve"> 'Berekeningen (huidig)'!F$652</f>
        <v>Impact vervoer, ong. recl. + geadr., water</v>
      </c>
      <c r="F56" s="106">
        <f xml:space="preserve"> 'Berekeningen (huidig)'!G$652</f>
        <v>434.60986631473389</v>
      </c>
      <c r="G56" s="46" t="str">
        <f xml:space="preserve"> 'Berekeningen (huidig)'!H$652</f>
        <v>m3</v>
      </c>
    </row>
    <row r="57" spans="5:9" ht="14.4" x14ac:dyDescent="0.3">
      <c r="E57" s="46" t="str">
        <f xml:space="preserve"> 'Berekeningen (huidig)'!F$653</f>
        <v>Impact vervoer, ong. recl. + geadr., GWP100</v>
      </c>
      <c r="F57" s="106">
        <f xml:space="preserve"> 'Berekeningen (huidig)'!G$653</f>
        <v>139319.70792299818</v>
      </c>
      <c r="G57" s="46" t="str">
        <f xml:space="preserve"> 'Berekeningen (huidig)'!H$653</f>
        <v>kg CO2-eq</v>
      </c>
    </row>
    <row r="58" spans="5:9" ht="14.4" x14ac:dyDescent="0.3"/>
    <row r="59" spans="5:9" ht="14.4" x14ac:dyDescent="0.3">
      <c r="E59" s="46" t="str">
        <f xml:space="preserve"> 'Berekeningen (huidig)'!F$740</f>
        <v>Impact vervoer, HAH, hernieuwbare energie</v>
      </c>
      <c r="F59" s="106">
        <f xml:space="preserve"> 'Berekeningen (huidig)'!G$740</f>
        <v>42063.643077690002</v>
      </c>
      <c r="G59" s="46" t="str">
        <f xml:space="preserve"> 'Berekeningen (huidig)'!H$740</f>
        <v>MJ-eq</v>
      </c>
    </row>
    <row r="60" spans="5:9" ht="14.4" x14ac:dyDescent="0.3">
      <c r="E60" s="46" t="str">
        <f xml:space="preserve"> 'Berekeningen (huidig)'!F$741</f>
        <v>Impact vervoer, HAH, niet-hernieuwbare energie</v>
      </c>
      <c r="F60" s="106">
        <f xml:space="preserve"> 'Berekeningen (huidig)'!G$741</f>
        <v>1556905.2209186452</v>
      </c>
      <c r="G60" s="46" t="str">
        <f xml:space="preserve"> 'Berekeningen (huidig)'!H$741</f>
        <v>MJ-eq</v>
      </c>
    </row>
    <row r="61" spans="5:9" ht="14.4" x14ac:dyDescent="0.3">
      <c r="E61" s="46" t="str">
        <f xml:space="preserve"> 'Berekeningen (huidig)'!F$742</f>
        <v>Impact vervoer, HAH, water</v>
      </c>
      <c r="F61" s="106">
        <f xml:space="preserve"> 'Berekeningen (huidig)'!G$742</f>
        <v>316.42717521999998</v>
      </c>
      <c r="G61" s="46" t="str">
        <f xml:space="preserve"> 'Berekeningen (huidig)'!H$742</f>
        <v>m3</v>
      </c>
    </row>
    <row r="62" spans="5:9" ht="14.4" x14ac:dyDescent="0.3">
      <c r="E62" s="46" t="str">
        <f xml:space="preserve"> 'Berekeningen (huidig)'!F$743</f>
        <v>Impact vervoer, HAH, GWP100</v>
      </c>
      <c r="F62" s="106">
        <f xml:space="preserve"> 'Berekeningen (huidig)'!G$743</f>
        <v>100285.71267000001</v>
      </c>
      <c r="G62" s="46" t="str">
        <f xml:space="preserve"> 'Berekeningen (huidig)'!H$743</f>
        <v>kg CO2-eq</v>
      </c>
      <c r="I62" s="66"/>
    </row>
    <row r="63" spans="5:9" ht="14.4" x14ac:dyDescent="0.3">
      <c r="I63" s="66"/>
    </row>
    <row r="64" spans="5:9" ht="14.4" x14ac:dyDescent="0.3">
      <c r="E64" s="46" t="str">
        <f xml:space="preserve"> 'Berekeningen (huidig)'!F$946</f>
        <v>Totale impact verwerken gescheiden+rest papier, hernieuwbare energie</v>
      </c>
      <c r="F64" s="130">
        <f xml:space="preserve"> 'Berekeningen (huidig)'!G$946</f>
        <v>-13040857.739919996</v>
      </c>
      <c r="G64" s="46" t="str">
        <f xml:space="preserve"> 'Berekeningen (huidig)'!H$946</f>
        <v>MJ-eq</v>
      </c>
    </row>
    <row r="65" spans="1:7" ht="14.4" x14ac:dyDescent="0.3">
      <c r="E65" s="46" t="str">
        <f xml:space="preserve"> 'Berekeningen (huidig)'!F$947</f>
        <v>Totale impact verwerken gescheiden+rest papier, niet-hernieuwbare energie</v>
      </c>
      <c r="F65" s="130">
        <f xml:space="preserve"> 'Berekeningen (huidig)'!G$947</f>
        <v>-9982900.2805058751</v>
      </c>
      <c r="G65" s="46" t="str">
        <f xml:space="preserve"> 'Berekeningen (huidig)'!H$947</f>
        <v>MJ-eq</v>
      </c>
    </row>
    <row r="66" spans="1:7" ht="14.4" x14ac:dyDescent="0.3">
      <c r="E66" s="46" t="str">
        <f xml:space="preserve"> 'Berekeningen (huidig)'!F$948</f>
        <v>Totale impact verwerken gescheiden+rest papier, water</v>
      </c>
      <c r="F66" s="130">
        <f xml:space="preserve"> 'Berekeningen (huidig)'!G$948</f>
        <v>-3350.9481720825593</v>
      </c>
      <c r="G66" s="46" t="str">
        <f xml:space="preserve"> 'Berekeningen (huidig)'!H$948</f>
        <v>m3</v>
      </c>
    </row>
    <row r="67" spans="1:7" ht="14.4" x14ac:dyDescent="0.3">
      <c r="E67" s="46" t="str">
        <f xml:space="preserve"> 'Berekeningen (huidig)'!F$949</f>
        <v>Totale impact verwerken gescheiden+rest papier, GWP100</v>
      </c>
      <c r="F67" s="130">
        <f xml:space="preserve"> 'Berekeningen (huidig)'!G$949</f>
        <v>-262265.34209627286</v>
      </c>
      <c r="G67" s="46" t="str">
        <f xml:space="preserve"> 'Berekeningen (huidig)'!H$949</f>
        <v>kg CO2-eq</v>
      </c>
    </row>
    <row r="68" spans="1:7" ht="14.4" x14ac:dyDescent="0.3">
      <c r="F68" s="128"/>
    </row>
    <row r="69" spans="1:7" ht="14.4" x14ac:dyDescent="0.3">
      <c r="E69" s="46" t="str">
        <f xml:space="preserve"> 'Berekeningen (huidig)'!F$1129</f>
        <v>Totale impact verwerken gescheiden+rest plastic, hernieuwbare energie</v>
      </c>
      <c r="F69" s="106">
        <f xml:space="preserve"> 'Berekeningen (huidig)'!G$1129</f>
        <v>-3539.6742128463466</v>
      </c>
      <c r="G69" s="46" t="str">
        <f xml:space="preserve"> 'Berekeningen (huidig)'!H$1129</f>
        <v>MJ-eq</v>
      </c>
    </row>
    <row r="70" spans="1:7" ht="14.4" x14ac:dyDescent="0.3">
      <c r="E70" s="46" t="str">
        <f xml:space="preserve"> 'Berekeningen (huidig)'!F$1130</f>
        <v>Totale impact verwerken gescheiden+rest plastic, niet-hernieuwbare energie</v>
      </c>
      <c r="F70" s="106">
        <f xml:space="preserve"> 'Berekeningen (huidig)'!G$1130</f>
        <v>-139137.97663034315</v>
      </c>
      <c r="G70" s="46" t="str">
        <f xml:space="preserve"> 'Berekeningen (huidig)'!H$1130</f>
        <v>MJ-eq</v>
      </c>
    </row>
    <row r="71" spans="1:7" ht="14.4" x14ac:dyDescent="0.3">
      <c r="E71" s="46" t="str">
        <f xml:space="preserve"> 'Berekeningen (huidig)'!F$1131</f>
        <v>Totale impact verwerken gescheiden+rest plastic, water</v>
      </c>
      <c r="F71" s="106">
        <f xml:space="preserve"> 'Berekeningen (huidig)'!G$1131</f>
        <v>13.813996211487122</v>
      </c>
      <c r="G71" s="46" t="str">
        <f xml:space="preserve"> 'Berekeningen (huidig)'!H$1131</f>
        <v>m3</v>
      </c>
    </row>
    <row r="72" spans="1:7" ht="14.4" x14ac:dyDescent="0.3">
      <c r="E72" s="46" t="str">
        <f xml:space="preserve"> 'Berekeningen (huidig)'!F$1132</f>
        <v>Totale impact verwerken gescheiden+rest plastic, GWP100</v>
      </c>
      <c r="F72" s="106">
        <f xml:space="preserve"> 'Berekeningen (huidig)'!G$1132</f>
        <v>-568.41567907340266</v>
      </c>
      <c r="G72" s="46" t="str">
        <f xml:space="preserve"> 'Berekeningen (huidig)'!H$1132</f>
        <v>kg CO2-eq</v>
      </c>
    </row>
    <row r="73" spans="1:7" ht="14.4" x14ac:dyDescent="0.3"/>
    <row r="74" spans="1:7" s="124" customFormat="1" ht="14.4" x14ac:dyDescent="0.3">
      <c r="A74" s="125" t="s">
        <v>1110</v>
      </c>
    </row>
    <row r="75" spans="1:7" ht="14.4" x14ac:dyDescent="0.3"/>
    <row r="76" spans="1:7" ht="14.4" x14ac:dyDescent="0.3">
      <c r="E76" s="46" t="str">
        <f xml:space="preserve"> 'Berekeningen (toekomst)'!F$302</f>
        <v>Jaarlijkse gewicht virgin ong. recl., ongeadresseerd normaal (kg)</v>
      </c>
      <c r="F76" s="130">
        <f xml:space="preserve"> 'Berekeningen (toekomst)'!G$302</f>
        <v>0</v>
      </c>
      <c r="G76" s="46" t="str">
        <f xml:space="preserve"> 'Berekeningen (toekomst)'!H$302</f>
        <v>kg / jaar</v>
      </c>
    </row>
    <row r="77" spans="1:7" ht="14.4" x14ac:dyDescent="0.3">
      <c r="E77" s="46" t="str">
        <f xml:space="preserve"> 'Berekeningen (toekomst)'!F$303</f>
        <v>Jaarlijkse gewicht recycled ong. recl., ongeadresseerd normaal (kg)</v>
      </c>
      <c r="F77" s="130">
        <f xml:space="preserve"> 'Berekeningen (toekomst)'!G$303</f>
        <v>936000</v>
      </c>
      <c r="G77" s="46" t="str">
        <f xml:space="preserve"> 'Berekeningen (toekomst)'!H$303</f>
        <v>kg / jaar</v>
      </c>
    </row>
    <row r="78" spans="1:7" ht="14.4" x14ac:dyDescent="0.3">
      <c r="E78" s="46" t="str">
        <f xml:space="preserve"> 'Berekeningen (toekomst)'!F$307</f>
        <v>Jaarlijkse gewicht virgin, geadresseerd selectie (kg)</v>
      </c>
      <c r="F78" s="130">
        <f xml:space="preserve"> 'Berekeningen (toekomst)'!G$307</f>
        <v>0</v>
      </c>
      <c r="G78" s="46" t="str">
        <f xml:space="preserve"> 'Berekeningen (toekomst)'!H$307</f>
        <v>kg / jaar</v>
      </c>
    </row>
    <row r="79" spans="1:7" ht="14.4" x14ac:dyDescent="0.3">
      <c r="E79" s="46" t="str">
        <f xml:space="preserve"> 'Berekeningen (toekomst)'!F$308</f>
        <v>Jaarlijkse gewicht recycled, geadresseerd selectie (kg)</v>
      </c>
      <c r="F79" s="130">
        <f xml:space="preserve"> 'Berekeningen (toekomst)'!G$308</f>
        <v>3587.5840000000003</v>
      </c>
      <c r="G79" s="46" t="str">
        <f xml:space="preserve"> 'Berekeningen (toekomst)'!H$308</f>
        <v>kg / jaar</v>
      </c>
    </row>
    <row r="80" spans="1:7" ht="14.4" x14ac:dyDescent="0.3">
      <c r="E80" s="46" t="str">
        <f xml:space="preserve"> 'Berekeningen (toekomst)'!F$312</f>
        <v>Jaarlijkse gewicht virgin papier, huis-aan-huis (kg)</v>
      </c>
      <c r="F80" s="130">
        <f xml:space="preserve"> 'Berekeningen (toekomst)'!G$312</f>
        <v>0</v>
      </c>
      <c r="G80" s="46" t="str">
        <f xml:space="preserve"> 'Berekeningen (toekomst)'!H$312</f>
        <v>kg / jaar</v>
      </c>
    </row>
    <row r="81" spans="5:7" ht="14.4" x14ac:dyDescent="0.3">
      <c r="E81" s="46" t="str">
        <f xml:space="preserve"> 'Berekeningen (toekomst)'!F$313</f>
        <v>Jaarlijkse gewicht recycled papier, huis-aan-huis (kg)</v>
      </c>
      <c r="F81" s="130">
        <f xml:space="preserve"> 'Berekeningen (toekomst)'!G$313</f>
        <v>172380</v>
      </c>
      <c r="G81" s="46" t="str">
        <f xml:space="preserve"> 'Berekeningen (toekomst)'!H$313</f>
        <v>kg / jaar</v>
      </c>
    </row>
    <row r="82" spans="5:7" ht="14.4" x14ac:dyDescent="0.3">
      <c r="E82" s="46" t="str">
        <f xml:space="preserve"> 'Berekeningen (toekomst)'!F$317</f>
        <v>Jaarlijkse gewicht opslag lokale folders (kg), recycled</v>
      </c>
      <c r="F82" s="130">
        <f xml:space="preserve"> 'Berekeningen (toekomst)'!G$317</f>
        <v>55598.379200000003</v>
      </c>
      <c r="G82" s="46" t="str">
        <f xml:space="preserve"> 'Berekeningen (toekomst)'!H$317</f>
        <v>kg / jaar</v>
      </c>
    </row>
    <row r="83" spans="5:7" ht="14.4" x14ac:dyDescent="0.3">
      <c r="E83" s="46" t="str">
        <f xml:space="preserve"> 'Berekeningen (toekomst)'!F$1255</f>
        <v>Gewicht aan stickers</v>
      </c>
      <c r="F83" s="106">
        <f xml:space="preserve"> 'Berekeningen (toekomst)'!G$1255</f>
        <v>0</v>
      </c>
      <c r="G83" s="46" t="str">
        <f xml:space="preserve"> 'Berekeningen (toekomst)'!H$1255</f>
        <v>kg vinyl</v>
      </c>
    </row>
    <row r="84" spans="5:7" ht="14.4" x14ac:dyDescent="0.3">
      <c r="E84" s="46" t="str">
        <f xml:space="preserve"> 'Berekeningen (toekomst)'!F$1293</f>
        <v>Gewicht aan brieven gemeente</v>
      </c>
      <c r="F84" s="46">
        <f xml:space="preserve"> 'Berekeningen (toekomst)'!G$1293</f>
        <v>0</v>
      </c>
      <c r="G84" s="46" t="str">
        <f xml:space="preserve"> 'Berekeningen (toekomst)'!H$1293</f>
        <v>kg papier</v>
      </c>
    </row>
    <row r="85" spans="5:7" ht="14.4" x14ac:dyDescent="0.3"/>
    <row r="86" spans="5:7" ht="14.4" x14ac:dyDescent="0.3">
      <c r="E86" s="46" t="str">
        <f xml:space="preserve"> 'Berekeningen (toekomst)'!F$304</f>
        <v>Jaarlijkse gewicht virgin plastic, ongeadresseerd normaal (kg)</v>
      </c>
      <c r="F86" s="130">
        <f xml:space="preserve"> 'Berekeningen (toekomst)'!G$304</f>
        <v>2808</v>
      </c>
      <c r="G86" s="46" t="str">
        <f xml:space="preserve"> 'Berekeningen (toekomst)'!H$304</f>
        <v>kg / jaar</v>
      </c>
    </row>
    <row r="87" spans="5:7" ht="14.4" x14ac:dyDescent="0.3">
      <c r="E87" s="46" t="str">
        <f xml:space="preserve"> 'Berekeningen (toekomst)'!F$305</f>
        <v>Jaarlijkse gewicht recycled plastic, ongeadresseerd normaal (kg)</v>
      </c>
      <c r="F87" s="130">
        <f xml:space="preserve"> 'Berekeningen (toekomst)'!G$305</f>
        <v>0</v>
      </c>
      <c r="G87" s="46" t="str">
        <f xml:space="preserve"> 'Berekeningen (toekomst)'!H$305</f>
        <v>kg / jaar</v>
      </c>
    </row>
    <row r="88" spans="5:7" ht="14.4" x14ac:dyDescent="0.3">
      <c r="E88" s="46" t="str">
        <f xml:space="preserve"> 'Berekeningen (toekomst)'!F$309</f>
        <v>Jaarlijkse gewicht virgin plastic, geadresseerd selectie (kg)</v>
      </c>
      <c r="F88" s="130">
        <f xml:space="preserve"> 'Berekeningen (toekomst)'!G$309</f>
        <v>160.16</v>
      </c>
      <c r="G88" s="46" t="str">
        <f xml:space="preserve"> 'Berekeningen (toekomst)'!H$309</f>
        <v>kg / jaar</v>
      </c>
    </row>
    <row r="89" spans="5:7" ht="14.4" x14ac:dyDescent="0.3">
      <c r="E89" s="46" t="str">
        <f xml:space="preserve"> 'Berekeningen (toekomst)'!F$310</f>
        <v>Jaarlijkse gewicht recycled plastic, geadresseerd selectie (kg)</v>
      </c>
      <c r="F89" s="130">
        <f xml:space="preserve"> 'Berekeningen (toekomst)'!G$310</f>
        <v>0</v>
      </c>
      <c r="G89" s="46" t="str">
        <f xml:space="preserve"> 'Berekeningen (toekomst)'!H$310</f>
        <v>kg / jaar</v>
      </c>
    </row>
    <row r="90" spans="5:7" ht="14.4" x14ac:dyDescent="0.3">
      <c r="E90" s="46" t="str">
        <f xml:space="preserve"> 'Berekeningen (toekomst)'!F$314</f>
        <v>Jaarlijkse gewicht virgin plastic, huis-aan-huis (kg)</v>
      </c>
      <c r="F90" s="130">
        <f xml:space="preserve"> 'Berekeningen (toekomst)'!G$314</f>
        <v>0</v>
      </c>
      <c r="G90" s="46" t="str">
        <f xml:space="preserve"> 'Berekeningen (toekomst)'!H$314</f>
        <v>kg / jaar</v>
      </c>
    </row>
    <row r="91" spans="5:7" ht="14.4" x14ac:dyDescent="0.3">
      <c r="E91" s="46" t="str">
        <f xml:space="preserve"> 'Berekeningen (toekomst)'!F$315</f>
        <v>Jaarlijkse gewicht recycled plastic, huis-aan-huis (kg)</v>
      </c>
      <c r="F91" s="130">
        <f xml:space="preserve"> 'Berekeningen (toekomst)'!G$315</f>
        <v>0</v>
      </c>
      <c r="G91" s="46" t="str">
        <f xml:space="preserve"> 'Berekeningen (toekomst)'!H$315</f>
        <v>kg / jaar</v>
      </c>
    </row>
    <row r="92" spans="5:7" ht="14.4" x14ac:dyDescent="0.3"/>
    <row r="93" spans="5:7" ht="14.4" x14ac:dyDescent="0.3">
      <c r="E93" s="46" t="str">
        <f xml:space="preserve"> 'Berekeningen (toekomst)'!F$396</f>
        <v>Impact papier, ong. + geadr. recl. per jaar, hernieuwbare energie</v>
      </c>
      <c r="F93" s="106">
        <f xml:space="preserve"> 'Berekeningen (toekomst)'!G$396</f>
        <v>13391192.097021496</v>
      </c>
      <c r="G93" s="46" t="str">
        <f xml:space="preserve"> 'Berekeningen (toekomst)'!H$396</f>
        <v>MJ / jaar</v>
      </c>
    </row>
    <row r="94" spans="5:7" ht="13.95" customHeight="1" x14ac:dyDescent="0.3">
      <c r="E94" s="46" t="str">
        <f xml:space="preserve"> 'Berekeningen (toekomst)'!F$397</f>
        <v>Impact papier, ong. + geadr. recl. per jaar, niet-hernieuwbare energie</v>
      </c>
      <c r="F94" s="106">
        <f xml:space="preserve"> 'Berekeningen (toekomst)'!G$397</f>
        <v>20051066.49771139</v>
      </c>
      <c r="G94" s="46" t="str">
        <f xml:space="preserve"> 'Berekeningen (toekomst)'!H$397</f>
        <v>MJ / jaar</v>
      </c>
    </row>
    <row r="95" spans="5:7" ht="13.95" customHeight="1" x14ac:dyDescent="0.3">
      <c r="E95" s="46" t="str">
        <f xml:space="preserve"> 'Berekeningen (toekomst)'!F$398</f>
        <v>Impact papier, ong. + geadr. recl. per jaar, water</v>
      </c>
      <c r="F95" s="106">
        <f xml:space="preserve"> 'Berekeningen (toekomst)'!G$398</f>
        <v>21527.862755942399</v>
      </c>
      <c r="G95" s="46" t="str">
        <f xml:space="preserve"> 'Berekeningen (toekomst)'!H$398</f>
        <v>M3 / jaar</v>
      </c>
    </row>
    <row r="96" spans="5:7" ht="13.95" customHeight="1" x14ac:dyDescent="0.3">
      <c r="E96" s="46" t="str">
        <f xml:space="preserve"> 'Berekeningen (toekomst)'!F$399</f>
        <v>Impact papier, ong. + geadr. recl. per jaar, GWP100</v>
      </c>
      <c r="F96" s="106">
        <f xml:space="preserve"> 'Berekeningen (toekomst)'!G$399</f>
        <v>1153520.04994512</v>
      </c>
      <c r="G96" s="46" t="str">
        <f xml:space="preserve"> 'Berekeningen (toekomst)'!H$399</f>
        <v>kg CO2-eq / jaar</v>
      </c>
    </row>
    <row r="98" spans="5:7" ht="13.95" customHeight="1" x14ac:dyDescent="0.3">
      <c r="E98" s="46" t="str">
        <f xml:space="preserve"> 'Berekeningen (toekomst)'!F$466</f>
        <v>Impact papier, HAH. per jaar, hernieuwbare energie</v>
      </c>
      <c r="F98" s="106">
        <f xml:space="preserve"> 'Berekeningen (toekomst)'!G$466</f>
        <v>2319540.0448193997</v>
      </c>
      <c r="G98" s="46" t="str">
        <f xml:space="preserve"> 'Berekeningen (toekomst)'!H$466</f>
        <v>MJ / jaar</v>
      </c>
    </row>
    <row r="99" spans="5:7" ht="13.95" customHeight="1" x14ac:dyDescent="0.3">
      <c r="E99" s="46" t="str">
        <f xml:space="preserve"> 'Berekeningen (toekomst)'!F$467</f>
        <v>Impact papier, HAH. per jaar, niet-hernieuwbare energie</v>
      </c>
      <c r="F99" s="106">
        <f xml:space="preserve"> 'Berekeningen (toekomst)'!G$467</f>
        <v>3473122.5827999995</v>
      </c>
      <c r="G99" s="46" t="str">
        <f xml:space="preserve"> 'Berekeningen (toekomst)'!H$467</f>
        <v>MJ / jaar</v>
      </c>
    </row>
    <row r="100" spans="5:7" ht="13.95" customHeight="1" x14ac:dyDescent="0.3">
      <c r="E100" s="46" t="str">
        <f xml:space="preserve"> 'Berekeningen (toekomst)'!F$468</f>
        <v>Impact papier, HAH. per jaar, water</v>
      </c>
      <c r="F100" s="106">
        <f xml:space="preserve"> 'Berekeningen (toekomst)'!G$468</f>
        <v>3728.9241599999996</v>
      </c>
      <c r="G100" s="46" t="str">
        <f xml:space="preserve"> 'Berekeningen (toekomst)'!H$468</f>
        <v>M3 / jaar</v>
      </c>
    </row>
    <row r="101" spans="5:7" ht="13.95" customHeight="1" x14ac:dyDescent="0.3">
      <c r="E101" s="46" t="str">
        <f xml:space="preserve"> 'Berekeningen (toekomst)'!F$469</f>
        <v>Impact papier, HAH. per jaar, GWP100</v>
      </c>
      <c r="F101" s="106">
        <f xml:space="preserve"> 'Berekeningen (toekomst)'!G$469</f>
        <v>199805.658</v>
      </c>
      <c r="G101" s="46" t="str">
        <f xml:space="preserve"> 'Berekeningen (toekomst)'!H$469</f>
        <v>kg CO2-eq / jaar</v>
      </c>
    </row>
    <row r="103" spans="5:7" ht="13.95" customHeight="1" x14ac:dyDescent="0.3">
      <c r="E103" s="46" t="str">
        <f xml:space="preserve"> 'Berekeningen (toekomst)'!F$564</f>
        <v>Impact folie per jaar, hernieuwbare energie</v>
      </c>
      <c r="F103" s="106">
        <f xml:space="preserve"> 'Berekeningen (toekomst)'!G$564</f>
        <v>10888.345013935999</v>
      </c>
      <c r="G103" s="46" t="str">
        <f xml:space="preserve"> 'Berekeningen (toekomst)'!H$564</f>
        <v>MJ / jaar</v>
      </c>
    </row>
    <row r="104" spans="5:7" ht="13.95" customHeight="1" x14ac:dyDescent="0.3">
      <c r="E104" s="46" t="str">
        <f xml:space="preserve"> 'Berekeningen (toekomst)'!F$565</f>
        <v>Impact folie per jaar, niet-hernieuwbare energie</v>
      </c>
      <c r="F104" s="106">
        <f xml:space="preserve"> 'Berekeningen (toekomst)'!G$565</f>
        <v>275955.22864353599</v>
      </c>
      <c r="G104" s="46" t="str">
        <f xml:space="preserve"> 'Berekeningen (toekomst)'!H$565</f>
        <v>MJ / jaar</v>
      </c>
    </row>
    <row r="105" spans="5:7" ht="13.95" customHeight="1" x14ac:dyDescent="0.3">
      <c r="E105" s="46" t="str">
        <f xml:space="preserve"> 'Berekeningen (toekomst)'!F$566</f>
        <v>Impact folie per jaar, water</v>
      </c>
      <c r="F105" s="106">
        <f xml:space="preserve"> 'Berekeningen (toekomst)'!G$566</f>
        <v>38.826500959999997</v>
      </c>
      <c r="G105" s="46" t="str">
        <f xml:space="preserve"> 'Berekeningen (toekomst)'!H$566</f>
        <v>M3 / jaar</v>
      </c>
    </row>
    <row r="106" spans="5:7" ht="13.95" customHeight="1" x14ac:dyDescent="0.3">
      <c r="E106" s="46" t="str">
        <f xml:space="preserve"> 'Berekeningen (toekomst)'!F$567</f>
        <v>Impact folie per jaar, GWP100</v>
      </c>
      <c r="F106" s="106">
        <f xml:space="preserve"> 'Berekeningen (toekomst)'!G$567</f>
        <v>9322.1001119999983</v>
      </c>
      <c r="G106" s="46" t="str">
        <f xml:space="preserve"> 'Berekeningen (toekomst)'!H$567</f>
        <v>kg CO2-eq / jaar</v>
      </c>
    </row>
    <row r="108" spans="5:7" ht="13.95" customHeight="1" x14ac:dyDescent="0.3">
      <c r="E108" s="46" t="str">
        <f xml:space="preserve"> 'Berekeningen (toekomst)'!F$731</f>
        <v>Impact vervoer, ong. recl. + geadr., hernieuwbare energie</v>
      </c>
      <c r="F108" s="106">
        <f xml:space="preserve"> 'Berekeningen (toekomst)'!G$731</f>
        <v>50939.654460656835</v>
      </c>
      <c r="G108" s="46" t="str">
        <f xml:space="preserve"> 'Berekeningen (toekomst)'!H$731</f>
        <v>MJ-eq</v>
      </c>
    </row>
    <row r="109" spans="5:7" ht="13.95" customHeight="1" x14ac:dyDescent="0.3">
      <c r="E109" s="46" t="str">
        <f xml:space="preserve"> 'Berekeningen (toekomst)'!F$732</f>
        <v>Impact vervoer, ong. recl. + geadr., niet-hernieuwbare energie</v>
      </c>
      <c r="F109" s="106">
        <f xml:space="preserve"> 'Berekeningen (toekomst)'!G$732</f>
        <v>2179347.0047352598</v>
      </c>
      <c r="G109" s="46" t="str">
        <f xml:space="preserve"> 'Berekeningen (toekomst)'!H$732</f>
        <v>MJ-eq</v>
      </c>
    </row>
    <row r="110" spans="5:7" ht="13.95" customHeight="1" x14ac:dyDescent="0.3">
      <c r="E110" s="46" t="str">
        <f xml:space="preserve"> 'Berekeningen (toekomst)'!F$733</f>
        <v>Impact vervoer, ong. recl. + geadr., water</v>
      </c>
      <c r="F110" s="106">
        <f xml:space="preserve"> 'Berekeningen (toekomst)'!G$733</f>
        <v>434.60986631473389</v>
      </c>
      <c r="G110" s="46" t="str">
        <f xml:space="preserve"> 'Berekeningen (toekomst)'!H$733</f>
        <v>m3</v>
      </c>
    </row>
    <row r="111" spans="5:7" ht="13.95" customHeight="1" x14ac:dyDescent="0.3">
      <c r="E111" s="46" t="str">
        <f xml:space="preserve"> 'Berekeningen (toekomst)'!F$734</f>
        <v>Impact vervoer, ong. recl. + geadr., GWP100</v>
      </c>
      <c r="F111" s="106">
        <f xml:space="preserve"> 'Berekeningen (toekomst)'!G$734</f>
        <v>139319.70792299818</v>
      </c>
      <c r="G111" s="46" t="str">
        <f xml:space="preserve"> 'Berekeningen (toekomst)'!H$734</f>
        <v>kg CO2-eq</v>
      </c>
    </row>
    <row r="113" spans="5:7" ht="13.95" customHeight="1" x14ac:dyDescent="0.3">
      <c r="E113" s="46" t="str">
        <f xml:space="preserve"> 'Berekeningen (toekomst)'!F$821</f>
        <v>Impact vervoer, HAH, hernieuwbare energie</v>
      </c>
      <c r="F113" s="106">
        <f xml:space="preserve"> 'Berekeningen (toekomst)'!G$821</f>
        <v>42063.643077690002</v>
      </c>
      <c r="G113" s="46" t="str">
        <f xml:space="preserve"> 'Berekeningen (toekomst)'!H$821</f>
        <v>MJ-eq</v>
      </c>
    </row>
    <row r="114" spans="5:7" ht="13.95" customHeight="1" x14ac:dyDescent="0.3">
      <c r="E114" s="46" t="str">
        <f xml:space="preserve"> 'Berekeningen (toekomst)'!F$822</f>
        <v>Impact vervoer, HAH, niet-hernieuwbare energie</v>
      </c>
      <c r="F114" s="106">
        <f xml:space="preserve"> 'Berekeningen (toekomst)'!G$822</f>
        <v>1556905.2209186452</v>
      </c>
      <c r="G114" s="46" t="str">
        <f xml:space="preserve"> 'Berekeningen (toekomst)'!H$822</f>
        <v>MJ-eq</v>
      </c>
    </row>
    <row r="115" spans="5:7" ht="13.95" customHeight="1" x14ac:dyDescent="0.3">
      <c r="E115" s="46" t="str">
        <f xml:space="preserve"> 'Berekeningen (toekomst)'!F$823</f>
        <v>Impact vervoer, HAH, water</v>
      </c>
      <c r="F115" s="106">
        <f xml:space="preserve"> 'Berekeningen (toekomst)'!G$823</f>
        <v>316.42717521999998</v>
      </c>
      <c r="G115" s="46" t="str">
        <f xml:space="preserve"> 'Berekeningen (toekomst)'!H$823</f>
        <v>m3</v>
      </c>
    </row>
    <row r="116" spans="5:7" ht="13.95" customHeight="1" x14ac:dyDescent="0.3">
      <c r="E116" s="46" t="str">
        <f xml:space="preserve"> 'Berekeningen (toekomst)'!F$824</f>
        <v>Impact vervoer, HAH, GWP100</v>
      </c>
      <c r="F116" s="106">
        <f xml:space="preserve"> 'Berekeningen (toekomst)'!G$824</f>
        <v>100285.71267000001</v>
      </c>
      <c r="G116" s="46" t="str">
        <f xml:space="preserve"> 'Berekeningen (toekomst)'!H$824</f>
        <v>kg CO2-eq</v>
      </c>
    </row>
    <row r="118" spans="5:7" ht="13.95" customHeight="1" x14ac:dyDescent="0.3">
      <c r="E118" s="46" t="str">
        <f xml:space="preserve"> 'Berekeningen (toekomst)'!F$1027</f>
        <v>Totale impact verwerken gescheiden+rest papier, hernieuwbare energie</v>
      </c>
      <c r="F118" s="106">
        <f xml:space="preserve"> 'Berekeningen (toekomst)'!G$1027</f>
        <v>-13040857.739919996</v>
      </c>
      <c r="G118" s="46" t="str">
        <f xml:space="preserve"> 'Berekeningen (toekomst)'!H$1027</f>
        <v>MJ-eq</v>
      </c>
    </row>
    <row r="119" spans="5:7" ht="13.95" customHeight="1" x14ac:dyDescent="0.3">
      <c r="E119" s="46" t="str">
        <f xml:space="preserve"> 'Berekeningen (toekomst)'!F$1028</f>
        <v>Totale impact verwerken gescheiden+rest papier, niet-hernieuwbare energie</v>
      </c>
      <c r="F119" s="106">
        <f xml:space="preserve"> 'Berekeningen (toekomst)'!G$1028</f>
        <v>-9982900.2805058751</v>
      </c>
      <c r="G119" s="46" t="str">
        <f xml:space="preserve"> 'Berekeningen (toekomst)'!H$1028</f>
        <v>MJ-eq</v>
      </c>
    </row>
    <row r="120" spans="5:7" ht="13.95" customHeight="1" x14ac:dyDescent="0.3">
      <c r="E120" s="46" t="str">
        <f xml:space="preserve"> 'Berekeningen (toekomst)'!F$1029</f>
        <v>Totale impact verwerken gescheiden+rest papier, water</v>
      </c>
      <c r="F120" s="106">
        <f xml:space="preserve"> 'Berekeningen (toekomst)'!G$1029</f>
        <v>-3350.9481720825593</v>
      </c>
      <c r="G120" s="46" t="str">
        <f xml:space="preserve"> 'Berekeningen (toekomst)'!H$1029</f>
        <v>m3</v>
      </c>
    </row>
    <row r="121" spans="5:7" ht="13.95" customHeight="1" x14ac:dyDescent="0.3">
      <c r="E121" s="46" t="str">
        <f xml:space="preserve"> 'Berekeningen (toekomst)'!F$1030</f>
        <v>Totale impact verwerken gescheiden+rest papier, GWP100</v>
      </c>
      <c r="F121" s="106">
        <f xml:space="preserve"> 'Berekeningen (toekomst)'!G$1030</f>
        <v>-262265.34209627286</v>
      </c>
      <c r="G121" s="46" t="str">
        <f xml:space="preserve"> 'Berekeningen (toekomst)'!H$1030</f>
        <v>kg CO2-eq</v>
      </c>
    </row>
    <row r="123" spans="5:7" ht="13.95" customHeight="1" x14ac:dyDescent="0.3">
      <c r="E123" s="46" t="str">
        <f xml:space="preserve"> 'Berekeningen (toekomst)'!F$1210</f>
        <v>Totale impact verwerken gescheiden+rest plastic, hernieuwbare energie</v>
      </c>
      <c r="F123" s="106">
        <f xml:space="preserve"> 'Berekeningen (toekomst)'!G$1210</f>
        <v>-3539.6742128463466</v>
      </c>
      <c r="G123" s="46" t="str">
        <f xml:space="preserve"> 'Berekeningen (toekomst)'!H$1210</f>
        <v>MJ-eq</v>
      </c>
    </row>
    <row r="124" spans="5:7" ht="13.95" customHeight="1" x14ac:dyDescent="0.3">
      <c r="E124" s="46" t="str">
        <f xml:space="preserve"> 'Berekeningen (toekomst)'!F$1211</f>
        <v>Totale impact verwerken gescheiden+rest plastic, niet-hernieuwbare energie</v>
      </c>
      <c r="F124" s="106">
        <f xml:space="preserve"> 'Berekeningen (toekomst)'!G$1211</f>
        <v>-139137.97663034315</v>
      </c>
      <c r="G124" s="46" t="str">
        <f xml:space="preserve"> 'Berekeningen (toekomst)'!H$1211</f>
        <v>MJ-eq</v>
      </c>
    </row>
    <row r="125" spans="5:7" ht="13.95" customHeight="1" x14ac:dyDescent="0.3">
      <c r="E125" s="46" t="str">
        <f xml:space="preserve"> 'Berekeningen (toekomst)'!F$1212</f>
        <v>Totale impact verwerken gescheiden+rest plastic, water</v>
      </c>
      <c r="F125" s="106">
        <f xml:space="preserve"> 'Berekeningen (toekomst)'!G$1212</f>
        <v>13.813996211487122</v>
      </c>
      <c r="G125" s="46" t="str">
        <f xml:space="preserve"> 'Berekeningen (toekomst)'!H$1212</f>
        <v>m3</v>
      </c>
    </row>
    <row r="126" spans="5:7" ht="13.95" customHeight="1" x14ac:dyDescent="0.3">
      <c r="E126" s="46" t="str">
        <f xml:space="preserve"> 'Berekeningen (toekomst)'!F$1213</f>
        <v>Totale impact verwerken gescheiden+rest plastic, GWP100</v>
      </c>
      <c r="F126" s="106">
        <f xml:space="preserve"> 'Berekeningen (toekomst)'!G$1213</f>
        <v>-568.41567907340266</v>
      </c>
      <c r="G126" s="46" t="str">
        <f xml:space="preserve"> 'Berekeningen (toekomst)'!H$1213</f>
        <v>kg CO2-eq</v>
      </c>
    </row>
    <row r="128" spans="5:7" ht="13.95" customHeight="1" x14ac:dyDescent="0.3">
      <c r="E128" s="46" t="str">
        <f xml:space="preserve"> 'Berekeningen (toekomst)'!F$1257</f>
        <v>Totale impact Stickerproductie, hernieuwbare energie</v>
      </c>
      <c r="F128" s="106">
        <f xml:space="preserve"> 'Berekeningen (toekomst)'!G$1257</f>
        <v>0</v>
      </c>
      <c r="G128" s="46" t="str">
        <f xml:space="preserve"> 'Berekeningen (toekomst)'!H$1257</f>
        <v>MJ-eq</v>
      </c>
    </row>
    <row r="129" spans="5:7" ht="13.95" customHeight="1" x14ac:dyDescent="0.3">
      <c r="E129" s="46" t="str">
        <f xml:space="preserve"> 'Berekeningen (toekomst)'!F$1258</f>
        <v>Totale impact Stickerproductie, niet-hernieuwbare energie</v>
      </c>
      <c r="F129" s="106">
        <f xml:space="preserve"> 'Berekeningen (toekomst)'!G$1258</f>
        <v>0</v>
      </c>
      <c r="G129" s="46" t="str">
        <f xml:space="preserve"> 'Berekeningen (toekomst)'!H$1258</f>
        <v>MJ-eq</v>
      </c>
    </row>
    <row r="130" spans="5:7" ht="13.95" customHeight="1" x14ac:dyDescent="0.3">
      <c r="E130" s="46" t="str">
        <f xml:space="preserve"> 'Berekeningen (toekomst)'!F$1259</f>
        <v>Totale impact Stickerproductie, water</v>
      </c>
      <c r="F130" s="106">
        <f xml:space="preserve"> 'Berekeningen (toekomst)'!G$1259</f>
        <v>0</v>
      </c>
      <c r="G130" s="46" t="str">
        <f xml:space="preserve"> 'Berekeningen (toekomst)'!H$1259</f>
        <v>m3</v>
      </c>
    </row>
    <row r="131" spans="5:7" ht="13.95" customHeight="1" x14ac:dyDescent="0.3">
      <c r="E131" s="46" t="str">
        <f xml:space="preserve"> 'Berekeningen (toekomst)'!F$1260</f>
        <v>Totale impact Stickerproductie, GWP100</v>
      </c>
      <c r="F131" s="106">
        <f xml:space="preserve"> 'Berekeningen (toekomst)'!G$1260</f>
        <v>0</v>
      </c>
      <c r="G131" s="46" t="str">
        <f xml:space="preserve"> 'Berekeningen (toekomst)'!H$1260</f>
        <v>kg CO2-eq</v>
      </c>
    </row>
    <row r="133" spans="5:7" ht="13.95" customHeight="1" x14ac:dyDescent="0.3">
      <c r="E133" s="46" t="str">
        <f xml:space="preserve"> 'Berekeningen (toekomst)'!F$1295</f>
        <v>Totale impact Papier brief en envelop, hernieuwbare energie</v>
      </c>
      <c r="F133" s="106">
        <f xml:space="preserve"> 'Berekeningen (toekomst)'!G$1295</f>
        <v>0</v>
      </c>
      <c r="G133" s="46" t="str">
        <f xml:space="preserve"> 'Berekeningen (toekomst)'!H$1295</f>
        <v>MJ-eq</v>
      </c>
    </row>
    <row r="134" spans="5:7" ht="13.95" customHeight="1" x14ac:dyDescent="0.3">
      <c r="E134" s="46" t="str">
        <f xml:space="preserve"> 'Berekeningen (toekomst)'!F$1296</f>
        <v>Totale impact Papier brief en envelop, niet-hernieuwbare energie</v>
      </c>
      <c r="F134" s="106">
        <f xml:space="preserve"> 'Berekeningen (toekomst)'!G$1296</f>
        <v>0</v>
      </c>
      <c r="G134" s="46" t="str">
        <f xml:space="preserve"> 'Berekeningen (toekomst)'!H$1296</f>
        <v>MJ-eq</v>
      </c>
    </row>
    <row r="135" spans="5:7" ht="13.95" customHeight="1" x14ac:dyDescent="0.3">
      <c r="E135" s="46" t="str">
        <f xml:space="preserve"> 'Berekeningen (toekomst)'!F$1297</f>
        <v>Totale impact Papier brief en envelop, water</v>
      </c>
      <c r="F135" s="106">
        <f xml:space="preserve"> 'Berekeningen (toekomst)'!G$1297</f>
        <v>0</v>
      </c>
      <c r="G135" s="46" t="str">
        <f xml:space="preserve"> 'Berekeningen (toekomst)'!H$1297</f>
        <v>m3</v>
      </c>
    </row>
    <row r="136" spans="5:7" ht="13.95" customHeight="1" x14ac:dyDescent="0.3">
      <c r="E136" s="46" t="str">
        <f xml:space="preserve"> 'Berekeningen (toekomst)'!F$1298</f>
        <v>Totale impact Papier brief en envelop, GWP100</v>
      </c>
      <c r="F136" s="106">
        <f xml:space="preserve"> 'Berekeningen (toekomst)'!G$1298</f>
        <v>0</v>
      </c>
      <c r="G136" s="46" t="str">
        <f xml:space="preserve"> 'Berekeningen (toekomst)'!H$1298</f>
        <v>kg CO2-eq</v>
      </c>
    </row>
    <row r="138" spans="5:7" ht="13.95" customHeight="1" x14ac:dyDescent="0.3">
      <c r="E138" s="46" t="str">
        <f xml:space="preserve"> 'Berekeningen (toekomst)'!F$1338</f>
        <v>Totale impact Digitaal lezen, hernieuwbare energie</v>
      </c>
      <c r="F138" s="106">
        <f xml:space="preserve"> 'Berekeningen (toekomst)'!G$1338</f>
        <v>0</v>
      </c>
      <c r="G138" s="46" t="str">
        <f xml:space="preserve"> 'Berekeningen (toekomst)'!H$1338</f>
        <v>MJ-eq</v>
      </c>
    </row>
    <row r="139" spans="5:7" ht="13.95" customHeight="1" x14ac:dyDescent="0.3">
      <c r="E139" s="46" t="str">
        <f xml:space="preserve"> 'Berekeningen (toekomst)'!F$1339</f>
        <v>Totale impact Digitaal lezen, niet-hernieuwbare energie</v>
      </c>
      <c r="F139" s="106">
        <f xml:space="preserve"> 'Berekeningen (toekomst)'!G$1339</f>
        <v>0</v>
      </c>
      <c r="G139" s="46" t="str">
        <f xml:space="preserve"> 'Berekeningen (toekomst)'!H$1339</f>
        <v>MJ-eq</v>
      </c>
    </row>
    <row r="140" spans="5:7" ht="13.95" customHeight="1" x14ac:dyDescent="0.3">
      <c r="E140" s="46" t="str">
        <f xml:space="preserve"> 'Berekeningen (toekomst)'!F$1340</f>
        <v>Totale impact Digitaal lezen, water</v>
      </c>
      <c r="F140" s="106">
        <f xml:space="preserve"> 'Berekeningen (toekomst)'!G$1340</f>
        <v>0</v>
      </c>
      <c r="G140" s="46" t="str">
        <f xml:space="preserve"> 'Berekeningen (toekomst)'!H$1340</f>
        <v>m3</v>
      </c>
    </row>
    <row r="141" spans="5:7" ht="13.95" customHeight="1" x14ac:dyDescent="0.3">
      <c r="E141" s="46" t="str">
        <f xml:space="preserve"> 'Berekeningen (toekomst)'!F$1341</f>
        <v>Totale impact Digitaal lezen, GWP100</v>
      </c>
      <c r="F141" s="106">
        <f xml:space="preserve"> 'Berekeningen (toekomst)'!G$1341</f>
        <v>0</v>
      </c>
      <c r="G141" s="46" t="str">
        <f xml:space="preserve"> 'Berekeningen (toekomst)'!H$1341</f>
        <v>kg CO2-eq</v>
      </c>
    </row>
    <row r="161" spans="1:24" ht="13.95" customHeight="1" x14ac:dyDescent="0.3">
      <c r="H161" s="43"/>
      <c r="I161" s="43"/>
      <c r="J161" s="43"/>
    </row>
    <row r="162" spans="1:24" ht="13.95" customHeight="1" x14ac:dyDescent="0.3">
      <c r="H162" s="43"/>
      <c r="I162" s="132"/>
      <c r="J162" s="43"/>
      <c r="W162" s="128"/>
      <c r="X162" s="128"/>
    </row>
    <row r="163" spans="1:24" s="43" customFormat="1" ht="13.95" customHeight="1" x14ac:dyDescent="0.3">
      <c r="A163"/>
      <c r="B163"/>
      <c r="C163"/>
      <c r="D163"/>
      <c r="N163" s="135"/>
      <c r="V163"/>
      <c r="W163"/>
      <c r="X163"/>
    </row>
    <row r="167" spans="1:24" ht="13.95" customHeight="1" x14ac:dyDescent="0.3">
      <c r="W167" s="128"/>
      <c r="X167" s="128"/>
    </row>
    <row r="172" spans="1:24" ht="13.95" customHeight="1" x14ac:dyDescent="0.3">
      <c r="W172" s="128"/>
      <c r="X172" s="128"/>
    </row>
    <row r="177" spans="23:24" ht="13.95" customHeight="1" x14ac:dyDescent="0.3">
      <c r="W177" s="128"/>
      <c r="X177" s="128"/>
    </row>
    <row r="182" spans="23:24" ht="13.95" customHeight="1" x14ac:dyDescent="0.3">
      <c r="W182" s="128"/>
      <c r="X182" s="127"/>
    </row>
    <row r="187" spans="23:24" ht="13.95" customHeight="1" x14ac:dyDescent="0.3">
      <c r="W187" s="128"/>
      <c r="X187" s="127"/>
    </row>
    <row r="195" spans="6:7" ht="13.95" customHeight="1" x14ac:dyDescent="0.3">
      <c r="F195" s="128"/>
      <c r="G195" s="128"/>
    </row>
    <row r="196" spans="6:7" ht="13.95" customHeight="1" x14ac:dyDescent="0.3">
      <c r="F196" s="128">
        <f>SUM(F22:F194)</f>
        <v>45434495.516580559</v>
      </c>
      <c r="G196" s="128">
        <f>SUM(G22:G194)</f>
        <v>0</v>
      </c>
    </row>
  </sheetData>
  <sheetProtection algorithmName="SHA-512" hashValue="Vf3+ald+p5+DErgsKF0WblCXsWD8bqDsptLJL1PSmoG9K9GJejfLyyiVk7U5c5LJYX8ezQCZ/CyUYeJnrdGB3g==" saltValue="Ywm9CVlRyVxV36NoDhBmjw=="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D3AA9-88D5-4F7C-BD64-06EB26C6750C}">
  <sheetPr codeName="Sheet5"/>
  <dimension ref="A1:ND42"/>
  <sheetViews>
    <sheetView zoomScale="73" zoomScaleNormal="70" workbookViewId="0">
      <pane xSplit="11" ySplit="2" topLeftCell="L5" activePane="bottomRight" state="frozen"/>
      <selection pane="topRight" activeCell="L1" sqref="L1"/>
      <selection pane="bottomLeft" activeCell="A3" sqref="A3"/>
      <selection pane="bottomRight" activeCell="E21" sqref="E21"/>
    </sheetView>
  </sheetViews>
  <sheetFormatPr defaultColWidth="9.109375" defaultRowHeight="13.8" x14ac:dyDescent="0.3"/>
  <cols>
    <col min="1" max="4" width="3" style="264" customWidth="1"/>
    <col min="5" max="5" width="60.88671875" style="264" bestFit="1" customWidth="1"/>
    <col min="6" max="16384" width="9.109375" style="264"/>
  </cols>
  <sheetData>
    <row r="1" spans="1:368" s="255" customFormat="1" ht="14.4" x14ac:dyDescent="0.3">
      <c r="A1" s="254"/>
      <c r="K1" s="255" t="s">
        <v>498</v>
      </c>
      <c r="M1" s="254" t="s">
        <v>52</v>
      </c>
    </row>
    <row r="2" spans="1:368" s="255" customFormat="1" ht="14.4" x14ac:dyDescent="0.3">
      <c r="E2" s="254" t="s">
        <v>21</v>
      </c>
      <c r="F2" s="254" t="s">
        <v>22</v>
      </c>
      <c r="G2" s="254" t="s">
        <v>23</v>
      </c>
      <c r="H2" s="255" t="s">
        <v>24</v>
      </c>
      <c r="I2" s="255" t="s">
        <v>25</v>
      </c>
      <c r="J2" s="255" t="s">
        <v>26</v>
      </c>
      <c r="K2" s="255">
        <v>1</v>
      </c>
      <c r="L2" s="255" t="s">
        <v>27</v>
      </c>
      <c r="M2" s="256" t="s">
        <v>53</v>
      </c>
      <c r="N2" s="256" t="s">
        <v>54</v>
      </c>
      <c r="O2" s="256" t="s">
        <v>55</v>
      </c>
      <c r="P2" s="256" t="s">
        <v>56</v>
      </c>
      <c r="Q2" s="256" t="s">
        <v>57</v>
      </c>
      <c r="R2" s="256" t="s">
        <v>58</v>
      </c>
      <c r="S2" s="256" t="s">
        <v>59</v>
      </c>
      <c r="T2" s="256" t="s">
        <v>60</v>
      </c>
      <c r="U2" s="256" t="s">
        <v>61</v>
      </c>
      <c r="V2" s="256" t="s">
        <v>62</v>
      </c>
      <c r="W2" s="256" t="s">
        <v>63</v>
      </c>
      <c r="X2" s="256" t="s">
        <v>64</v>
      </c>
      <c r="Y2" s="256" t="s">
        <v>65</v>
      </c>
      <c r="Z2" s="256" t="s">
        <v>66</v>
      </c>
      <c r="AA2" s="256" t="s">
        <v>67</v>
      </c>
      <c r="AB2" s="256" t="s">
        <v>7</v>
      </c>
      <c r="AC2" s="256" t="s">
        <v>68</v>
      </c>
      <c r="AD2" s="256" t="s">
        <v>69</v>
      </c>
      <c r="AE2" s="256" t="s">
        <v>70</v>
      </c>
      <c r="AF2" s="256" t="s">
        <v>71</v>
      </c>
      <c r="AG2" s="256" t="s">
        <v>72</v>
      </c>
      <c r="AH2" s="256" t="s">
        <v>73</v>
      </c>
      <c r="AI2" s="256" t="s">
        <v>74</v>
      </c>
      <c r="AJ2" s="256" t="s">
        <v>75</v>
      </c>
      <c r="AK2" s="256" t="s">
        <v>76</v>
      </c>
      <c r="AL2" s="256" t="s">
        <v>77</v>
      </c>
      <c r="AM2" s="256" t="s">
        <v>78</v>
      </c>
      <c r="AN2" s="256" t="s">
        <v>79</v>
      </c>
      <c r="AO2" s="256" t="s">
        <v>80</v>
      </c>
      <c r="AP2" s="256" t="s">
        <v>81</v>
      </c>
      <c r="AQ2" s="256" t="s">
        <v>82</v>
      </c>
      <c r="AR2" s="256" t="s">
        <v>83</v>
      </c>
      <c r="AS2" s="256" t="s">
        <v>84</v>
      </c>
      <c r="AT2" s="256" t="s">
        <v>85</v>
      </c>
      <c r="AU2" s="256" t="s">
        <v>86</v>
      </c>
      <c r="AV2" s="256" t="s">
        <v>87</v>
      </c>
      <c r="AW2" s="256" t="s">
        <v>88</v>
      </c>
      <c r="AX2" s="256" t="s">
        <v>89</v>
      </c>
      <c r="AY2" s="256" t="s">
        <v>90</v>
      </c>
      <c r="AZ2" s="256" t="s">
        <v>91</v>
      </c>
      <c r="BA2" s="256" t="s">
        <v>92</v>
      </c>
      <c r="BB2" s="256" t="s">
        <v>93</v>
      </c>
      <c r="BC2" s="256" t="s">
        <v>94</v>
      </c>
      <c r="BD2" s="256" t="s">
        <v>95</v>
      </c>
      <c r="BE2" s="256" t="s">
        <v>96</v>
      </c>
      <c r="BF2" s="256" t="s">
        <v>97</v>
      </c>
      <c r="BG2" s="256" t="s">
        <v>98</v>
      </c>
      <c r="BH2" s="256" t="s">
        <v>99</v>
      </c>
      <c r="BI2" s="256" t="s">
        <v>100</v>
      </c>
      <c r="BJ2" s="256" t="s">
        <v>101</v>
      </c>
      <c r="BK2" s="256" t="s">
        <v>102</v>
      </c>
      <c r="BL2" s="256" t="s">
        <v>103</v>
      </c>
      <c r="BM2" s="256" t="s">
        <v>104</v>
      </c>
      <c r="BN2" s="256" t="s">
        <v>105</v>
      </c>
      <c r="BO2" s="256" t="s">
        <v>106</v>
      </c>
      <c r="BP2" s="256" t="s">
        <v>107</v>
      </c>
      <c r="BQ2" s="256" t="s">
        <v>108</v>
      </c>
      <c r="BR2" s="256" t="s">
        <v>109</v>
      </c>
      <c r="BS2" s="256" t="s">
        <v>110</v>
      </c>
      <c r="BT2" s="256" t="s">
        <v>111</v>
      </c>
      <c r="BU2" s="256" t="s">
        <v>112</v>
      </c>
      <c r="BV2" s="256" t="s">
        <v>113</v>
      </c>
      <c r="BW2" s="256" t="s">
        <v>114</v>
      </c>
      <c r="BX2" s="256" t="s">
        <v>115</v>
      </c>
      <c r="BY2" s="256" t="s">
        <v>116</v>
      </c>
      <c r="BZ2" s="256" t="s">
        <v>117</v>
      </c>
      <c r="CA2" s="256" t="s">
        <v>118</v>
      </c>
      <c r="CB2" s="256" t="s">
        <v>119</v>
      </c>
      <c r="CC2" s="256" t="s">
        <v>120</v>
      </c>
      <c r="CD2" s="256" t="s">
        <v>121</v>
      </c>
      <c r="CE2" s="256" t="s">
        <v>122</v>
      </c>
      <c r="CF2" s="256" t="s">
        <v>123</v>
      </c>
      <c r="CG2" s="256" t="s">
        <v>124</v>
      </c>
      <c r="CH2" s="256" t="s">
        <v>125</v>
      </c>
      <c r="CI2" s="256" t="s">
        <v>126</v>
      </c>
      <c r="CJ2" s="256" t="s">
        <v>127</v>
      </c>
      <c r="CK2" s="256" t="s">
        <v>128</v>
      </c>
      <c r="CL2" s="256" t="s">
        <v>129</v>
      </c>
      <c r="CM2" s="256" t="s">
        <v>130</v>
      </c>
      <c r="CN2" s="256" t="s">
        <v>131</v>
      </c>
      <c r="CO2" s="256" t="s">
        <v>132</v>
      </c>
      <c r="CP2" s="256" t="s">
        <v>133</v>
      </c>
      <c r="CQ2" s="256" t="s">
        <v>134</v>
      </c>
      <c r="CR2" s="256" t="s">
        <v>135</v>
      </c>
      <c r="CS2" s="256" t="s">
        <v>136</v>
      </c>
      <c r="CT2" s="256" t="s">
        <v>137</v>
      </c>
      <c r="CU2" s="256" t="s">
        <v>138</v>
      </c>
      <c r="CV2" s="256" t="s">
        <v>139</v>
      </c>
      <c r="CW2" s="256" t="s">
        <v>140</v>
      </c>
      <c r="CX2" s="256" t="s">
        <v>141</v>
      </c>
      <c r="CY2" s="256" t="s">
        <v>142</v>
      </c>
      <c r="CZ2" s="256" t="s">
        <v>143</v>
      </c>
      <c r="DA2" s="256" t="s">
        <v>144</v>
      </c>
      <c r="DB2" s="256" t="s">
        <v>145</v>
      </c>
      <c r="DC2" s="256" t="s">
        <v>146</v>
      </c>
      <c r="DD2" s="256" t="s">
        <v>147</v>
      </c>
      <c r="DE2" s="256" t="s">
        <v>148</v>
      </c>
      <c r="DF2" s="256" t="s">
        <v>149</v>
      </c>
      <c r="DG2" s="256" t="s">
        <v>150</v>
      </c>
      <c r="DH2" s="256" t="s">
        <v>151</v>
      </c>
      <c r="DI2" s="256" t="s">
        <v>152</v>
      </c>
      <c r="DJ2" s="256" t="s">
        <v>153</v>
      </c>
      <c r="DK2" s="256" t="s">
        <v>154</v>
      </c>
      <c r="DL2" s="256" t="s">
        <v>155</v>
      </c>
      <c r="DM2" s="256" t="s">
        <v>156</v>
      </c>
      <c r="DN2" s="256" t="s">
        <v>157</v>
      </c>
      <c r="DO2" s="256" t="s">
        <v>158</v>
      </c>
      <c r="DP2" s="256" t="s">
        <v>159</v>
      </c>
      <c r="DQ2" s="256" t="s">
        <v>160</v>
      </c>
      <c r="DR2" s="256" t="s">
        <v>161</v>
      </c>
      <c r="DS2" s="256" t="s">
        <v>162</v>
      </c>
      <c r="DT2" s="256" t="s">
        <v>163</v>
      </c>
      <c r="DU2" s="256" t="s">
        <v>164</v>
      </c>
      <c r="DV2" s="256" t="s">
        <v>165</v>
      </c>
      <c r="DW2" s="256" t="s">
        <v>166</v>
      </c>
      <c r="DX2" s="256" t="s">
        <v>167</v>
      </c>
      <c r="DY2" s="256" t="s">
        <v>168</v>
      </c>
      <c r="DZ2" s="256" t="s">
        <v>169</v>
      </c>
      <c r="EA2" s="256" t="s">
        <v>170</v>
      </c>
      <c r="EB2" s="256" t="s">
        <v>171</v>
      </c>
      <c r="EC2" s="256" t="s">
        <v>172</v>
      </c>
      <c r="ED2" s="256" t="s">
        <v>173</v>
      </c>
      <c r="EE2" s="256" t="s">
        <v>174</v>
      </c>
      <c r="EF2" s="256" t="s">
        <v>175</v>
      </c>
      <c r="EG2" s="256" t="s">
        <v>176</v>
      </c>
      <c r="EH2" s="256" t="s">
        <v>177</v>
      </c>
      <c r="EI2" s="256" t="s">
        <v>178</v>
      </c>
      <c r="EJ2" s="256" t="s">
        <v>179</v>
      </c>
      <c r="EK2" s="256" t="s">
        <v>180</v>
      </c>
      <c r="EL2" s="256" t="s">
        <v>181</v>
      </c>
      <c r="EM2" s="256" t="s">
        <v>182</v>
      </c>
      <c r="EN2" s="256" t="s">
        <v>183</v>
      </c>
      <c r="EO2" s="256" t="s">
        <v>184</v>
      </c>
      <c r="EP2" s="256" t="s">
        <v>185</v>
      </c>
      <c r="EQ2" s="256" t="s">
        <v>186</v>
      </c>
      <c r="ER2" s="256" t="s">
        <v>187</v>
      </c>
      <c r="ES2" s="256" t="s">
        <v>188</v>
      </c>
      <c r="ET2" s="256" t="s">
        <v>189</v>
      </c>
      <c r="EU2" s="256" t="s">
        <v>190</v>
      </c>
      <c r="EV2" s="256" t="s">
        <v>191</v>
      </c>
      <c r="EW2" s="256" t="s">
        <v>192</v>
      </c>
      <c r="EX2" s="256" t="s">
        <v>193</v>
      </c>
      <c r="EY2" s="256" t="s">
        <v>194</v>
      </c>
      <c r="EZ2" s="256" t="s">
        <v>195</v>
      </c>
      <c r="FA2" s="256" t="s">
        <v>196</v>
      </c>
      <c r="FB2" s="256" t="s">
        <v>197</v>
      </c>
      <c r="FC2" s="256" t="s">
        <v>198</v>
      </c>
      <c r="FD2" s="256" t="s">
        <v>199</v>
      </c>
      <c r="FE2" s="256" t="s">
        <v>200</v>
      </c>
      <c r="FF2" s="256" t="s">
        <v>201</v>
      </c>
      <c r="FG2" s="256" t="s">
        <v>202</v>
      </c>
      <c r="FH2" s="256" t="s">
        <v>203</v>
      </c>
      <c r="FI2" s="256" t="s">
        <v>204</v>
      </c>
      <c r="FJ2" s="256" t="s">
        <v>205</v>
      </c>
      <c r="FK2" s="256" t="s">
        <v>206</v>
      </c>
      <c r="FL2" s="256" t="s">
        <v>207</v>
      </c>
      <c r="FM2" s="256" t="s">
        <v>208</v>
      </c>
      <c r="FN2" s="256" t="s">
        <v>209</v>
      </c>
      <c r="FO2" s="256" t="s">
        <v>210</v>
      </c>
      <c r="FP2" s="256" t="s">
        <v>211</v>
      </c>
      <c r="FQ2" s="256" t="s">
        <v>212</v>
      </c>
      <c r="FR2" s="256" t="s">
        <v>213</v>
      </c>
      <c r="FS2" s="256" t="s">
        <v>214</v>
      </c>
      <c r="FT2" s="256" t="s">
        <v>215</v>
      </c>
      <c r="FU2" s="256" t="s">
        <v>216</v>
      </c>
      <c r="FV2" s="256" t="s">
        <v>217</v>
      </c>
      <c r="FW2" s="256" t="s">
        <v>218</v>
      </c>
      <c r="FX2" s="256" t="s">
        <v>219</v>
      </c>
      <c r="FY2" s="256" t="s">
        <v>220</v>
      </c>
      <c r="FZ2" s="256" t="s">
        <v>221</v>
      </c>
      <c r="GA2" s="256" t="s">
        <v>222</v>
      </c>
      <c r="GB2" s="256" t="s">
        <v>223</v>
      </c>
      <c r="GC2" s="256" t="s">
        <v>224</v>
      </c>
      <c r="GD2" s="256" t="s">
        <v>225</v>
      </c>
      <c r="GE2" s="256" t="s">
        <v>226</v>
      </c>
      <c r="GF2" s="256" t="s">
        <v>227</v>
      </c>
      <c r="GG2" s="256" t="s">
        <v>228</v>
      </c>
      <c r="GH2" s="256" t="s">
        <v>229</v>
      </c>
      <c r="GI2" s="256" t="s">
        <v>230</v>
      </c>
      <c r="GJ2" s="256" t="s">
        <v>231</v>
      </c>
      <c r="GK2" s="256" t="s">
        <v>232</v>
      </c>
      <c r="GL2" s="256" t="s">
        <v>233</v>
      </c>
      <c r="GM2" s="256" t="s">
        <v>234</v>
      </c>
      <c r="GN2" s="256" t="s">
        <v>235</v>
      </c>
      <c r="GO2" s="256" t="s">
        <v>236</v>
      </c>
      <c r="GP2" s="256" t="s">
        <v>237</v>
      </c>
      <c r="GQ2" s="256" t="s">
        <v>238</v>
      </c>
      <c r="GR2" s="256" t="s">
        <v>239</v>
      </c>
      <c r="GS2" s="256" t="s">
        <v>240</v>
      </c>
      <c r="GT2" s="256" t="s">
        <v>241</v>
      </c>
      <c r="GU2" s="256" t="s">
        <v>242</v>
      </c>
      <c r="GV2" s="256" t="s">
        <v>243</v>
      </c>
      <c r="GW2" s="256" t="s">
        <v>244</v>
      </c>
      <c r="GX2" s="256" t="s">
        <v>245</v>
      </c>
      <c r="GY2" s="256" t="s">
        <v>246</v>
      </c>
      <c r="GZ2" s="256" t="s">
        <v>247</v>
      </c>
      <c r="HA2" s="256" t="s">
        <v>248</v>
      </c>
      <c r="HB2" s="256" t="s">
        <v>249</v>
      </c>
      <c r="HC2" s="256" t="s">
        <v>250</v>
      </c>
      <c r="HD2" s="256" t="s">
        <v>251</v>
      </c>
      <c r="HE2" s="256" t="s">
        <v>252</v>
      </c>
      <c r="HF2" s="256" t="s">
        <v>253</v>
      </c>
      <c r="HG2" s="256" t="s">
        <v>254</v>
      </c>
      <c r="HH2" s="256" t="s">
        <v>255</v>
      </c>
      <c r="HI2" s="256" t="s">
        <v>256</v>
      </c>
      <c r="HJ2" s="256" t="s">
        <v>257</v>
      </c>
      <c r="HK2" s="256" t="s">
        <v>258</v>
      </c>
      <c r="HL2" s="256" t="s">
        <v>259</v>
      </c>
      <c r="HM2" s="256" t="s">
        <v>260</v>
      </c>
      <c r="HN2" s="256" t="s">
        <v>261</v>
      </c>
      <c r="HO2" s="256" t="s">
        <v>262</v>
      </c>
      <c r="HP2" s="256" t="s">
        <v>263</v>
      </c>
      <c r="HQ2" s="256" t="s">
        <v>264</v>
      </c>
      <c r="HR2" s="256" t="s">
        <v>265</v>
      </c>
      <c r="HS2" s="256" t="s">
        <v>266</v>
      </c>
      <c r="HT2" s="256" t="s">
        <v>267</v>
      </c>
      <c r="HU2" s="256" t="s">
        <v>268</v>
      </c>
      <c r="HV2" s="256" t="s">
        <v>269</v>
      </c>
      <c r="HW2" s="256" t="s">
        <v>270</v>
      </c>
      <c r="HX2" s="256" t="s">
        <v>271</v>
      </c>
      <c r="HY2" s="256" t="s">
        <v>272</v>
      </c>
      <c r="HZ2" s="256" t="s">
        <v>273</v>
      </c>
      <c r="IA2" s="256" t="s">
        <v>274</v>
      </c>
      <c r="IB2" s="256" t="s">
        <v>275</v>
      </c>
      <c r="IC2" s="256" t="s">
        <v>276</v>
      </c>
      <c r="ID2" s="256" t="s">
        <v>277</v>
      </c>
      <c r="IE2" s="256" t="s">
        <v>278</v>
      </c>
      <c r="IF2" s="256" t="s">
        <v>279</v>
      </c>
      <c r="IG2" s="256" t="s">
        <v>280</v>
      </c>
      <c r="IH2" s="256" t="s">
        <v>281</v>
      </c>
      <c r="II2" s="256" t="s">
        <v>282</v>
      </c>
      <c r="IJ2" s="256" t="s">
        <v>283</v>
      </c>
      <c r="IK2" s="256" t="s">
        <v>284</v>
      </c>
      <c r="IL2" s="256" t="s">
        <v>285</v>
      </c>
      <c r="IM2" s="256" t="s">
        <v>286</v>
      </c>
      <c r="IN2" s="256" t="s">
        <v>287</v>
      </c>
      <c r="IO2" s="256" t="s">
        <v>288</v>
      </c>
      <c r="IP2" s="256" t="s">
        <v>289</v>
      </c>
      <c r="IQ2" s="256" t="s">
        <v>290</v>
      </c>
      <c r="IR2" s="256" t="s">
        <v>291</v>
      </c>
      <c r="IS2" s="256" t="s">
        <v>292</v>
      </c>
      <c r="IT2" s="256" t="s">
        <v>293</v>
      </c>
      <c r="IU2" s="256" t="s">
        <v>294</v>
      </c>
      <c r="IV2" s="256" t="s">
        <v>295</v>
      </c>
      <c r="IW2" s="256" t="s">
        <v>296</v>
      </c>
      <c r="IX2" s="256" t="s">
        <v>297</v>
      </c>
      <c r="IY2" s="256" t="s">
        <v>298</v>
      </c>
      <c r="IZ2" s="256" t="s">
        <v>299</v>
      </c>
      <c r="JA2" s="256" t="s">
        <v>300</v>
      </c>
      <c r="JB2" s="256" t="s">
        <v>301</v>
      </c>
      <c r="JC2" s="256" t="s">
        <v>302</v>
      </c>
      <c r="JD2" s="256" t="s">
        <v>303</v>
      </c>
      <c r="JE2" s="256" t="s">
        <v>38</v>
      </c>
      <c r="JF2" s="256" t="s">
        <v>304</v>
      </c>
      <c r="JG2" s="256" t="s">
        <v>305</v>
      </c>
      <c r="JH2" s="256" t="s">
        <v>306</v>
      </c>
      <c r="JI2" s="256" t="s">
        <v>307</v>
      </c>
      <c r="JJ2" s="256" t="s">
        <v>308</v>
      </c>
      <c r="JK2" s="256" t="s">
        <v>309</v>
      </c>
      <c r="JL2" s="256" t="s">
        <v>310</v>
      </c>
      <c r="JM2" s="256" t="s">
        <v>311</v>
      </c>
      <c r="JN2" s="256" t="s">
        <v>312</v>
      </c>
      <c r="JO2" s="256" t="s">
        <v>313</v>
      </c>
      <c r="JP2" s="256" t="s">
        <v>314</v>
      </c>
      <c r="JQ2" s="256" t="s">
        <v>315</v>
      </c>
      <c r="JR2" s="256" t="s">
        <v>316</v>
      </c>
      <c r="JS2" s="256" t="s">
        <v>317</v>
      </c>
      <c r="JT2" s="256" t="s">
        <v>318</v>
      </c>
      <c r="JU2" s="256" t="s">
        <v>319</v>
      </c>
      <c r="JV2" s="256" t="s">
        <v>320</v>
      </c>
      <c r="JW2" s="256" t="s">
        <v>321</v>
      </c>
      <c r="JX2" s="256" t="s">
        <v>322</v>
      </c>
      <c r="JY2" s="256" t="s">
        <v>323</v>
      </c>
      <c r="JZ2" s="256" t="s">
        <v>324</v>
      </c>
      <c r="KA2" s="256" t="s">
        <v>325</v>
      </c>
      <c r="KB2" s="256" t="s">
        <v>326</v>
      </c>
      <c r="KC2" s="256" t="s">
        <v>327</v>
      </c>
      <c r="KD2" s="256" t="s">
        <v>328</v>
      </c>
      <c r="KE2" s="256" t="s">
        <v>329</v>
      </c>
      <c r="KF2" s="256" t="s">
        <v>330</v>
      </c>
      <c r="KG2" s="256" t="s">
        <v>331</v>
      </c>
      <c r="KH2" s="256" t="s">
        <v>332</v>
      </c>
      <c r="KI2" s="256" t="s">
        <v>333</v>
      </c>
      <c r="KJ2" s="256" t="s">
        <v>334</v>
      </c>
      <c r="KK2" s="256" t="s">
        <v>335</v>
      </c>
      <c r="KL2" s="256" t="s">
        <v>336</v>
      </c>
      <c r="KM2" s="256" t="s">
        <v>337</v>
      </c>
      <c r="KN2" s="256" t="s">
        <v>338</v>
      </c>
      <c r="KO2" s="256" t="s">
        <v>339</v>
      </c>
      <c r="KP2" s="256" t="s">
        <v>340</v>
      </c>
      <c r="KQ2" s="256" t="s">
        <v>341</v>
      </c>
      <c r="KR2" s="256" t="s">
        <v>342</v>
      </c>
      <c r="KS2" s="256" t="s">
        <v>343</v>
      </c>
      <c r="KT2" s="256" t="s">
        <v>344</v>
      </c>
      <c r="KU2" s="256" t="s">
        <v>345</v>
      </c>
      <c r="KV2" s="256" t="s">
        <v>346</v>
      </c>
      <c r="KW2" s="256" t="s">
        <v>347</v>
      </c>
      <c r="KX2" s="256" t="s">
        <v>348</v>
      </c>
      <c r="KY2" s="256" t="s">
        <v>349</v>
      </c>
      <c r="KZ2" s="256" t="s">
        <v>350</v>
      </c>
      <c r="LA2" s="256" t="s">
        <v>351</v>
      </c>
      <c r="LB2" s="256" t="s">
        <v>352</v>
      </c>
      <c r="LC2" s="256" t="s">
        <v>353</v>
      </c>
      <c r="LD2" s="256" t="s">
        <v>39</v>
      </c>
      <c r="LE2" s="256" t="s">
        <v>354</v>
      </c>
      <c r="LF2" s="256" t="s">
        <v>355</v>
      </c>
      <c r="LG2" s="256" t="s">
        <v>40</v>
      </c>
      <c r="LH2" s="256" t="s">
        <v>356</v>
      </c>
      <c r="LI2" s="256" t="s">
        <v>357</v>
      </c>
      <c r="LJ2" s="256" t="s">
        <v>358</v>
      </c>
      <c r="LK2" s="256" t="s">
        <v>359</v>
      </c>
      <c r="LL2" s="256" t="s">
        <v>360</v>
      </c>
      <c r="LM2" s="256" t="s">
        <v>361</v>
      </c>
      <c r="LN2" s="256" t="s">
        <v>362</v>
      </c>
      <c r="LO2" s="256" t="s">
        <v>363</v>
      </c>
      <c r="LP2" s="256" t="s">
        <v>364</v>
      </c>
      <c r="LQ2" s="256" t="s">
        <v>365</v>
      </c>
      <c r="LR2" s="256" t="s">
        <v>366</v>
      </c>
      <c r="LS2" s="256" t="s">
        <v>367</v>
      </c>
      <c r="LT2" s="256" t="s">
        <v>368</v>
      </c>
      <c r="LU2" s="256" t="s">
        <v>369</v>
      </c>
      <c r="LV2" s="256" t="s">
        <v>370</v>
      </c>
      <c r="LW2" s="256" t="s">
        <v>371</v>
      </c>
      <c r="LX2" s="256" t="s">
        <v>372</v>
      </c>
      <c r="LY2" s="256" t="s">
        <v>373</v>
      </c>
      <c r="LZ2" s="256" t="s">
        <v>374</v>
      </c>
      <c r="MA2" s="256" t="s">
        <v>375</v>
      </c>
      <c r="MB2" s="256" t="s">
        <v>376</v>
      </c>
      <c r="MC2" s="256" t="s">
        <v>377</v>
      </c>
      <c r="MD2" s="256" t="s">
        <v>378</v>
      </c>
      <c r="ME2" s="256" t="s">
        <v>379</v>
      </c>
      <c r="MF2" s="256" t="s">
        <v>380</v>
      </c>
      <c r="MG2" s="256" t="s">
        <v>381</v>
      </c>
      <c r="MH2" s="256" t="s">
        <v>382</v>
      </c>
      <c r="MI2" s="256" t="s">
        <v>383</v>
      </c>
      <c r="MJ2" s="256" t="s">
        <v>384</v>
      </c>
      <c r="MK2" s="256" t="s">
        <v>385</v>
      </c>
      <c r="ML2" s="256" t="s">
        <v>386</v>
      </c>
      <c r="MM2" s="256" t="s">
        <v>387</v>
      </c>
      <c r="MN2" s="256" t="s">
        <v>388</v>
      </c>
      <c r="MO2" s="256" t="s">
        <v>389</v>
      </c>
      <c r="MP2" s="256" t="s">
        <v>390</v>
      </c>
      <c r="MQ2" s="256" t="s">
        <v>391</v>
      </c>
      <c r="MR2" s="256" t="s">
        <v>392</v>
      </c>
      <c r="MS2" s="256" t="s">
        <v>393</v>
      </c>
      <c r="MT2" s="256" t="s">
        <v>394</v>
      </c>
      <c r="MU2" s="256" t="s">
        <v>395</v>
      </c>
      <c r="MV2" s="256" t="s">
        <v>396</v>
      </c>
      <c r="MW2" s="256" t="s">
        <v>397</v>
      </c>
      <c r="MX2" s="256" t="s">
        <v>398</v>
      </c>
      <c r="MY2" s="256" t="s">
        <v>399</v>
      </c>
      <c r="MZ2" s="256" t="s">
        <v>400</v>
      </c>
      <c r="NA2" s="256" t="s">
        <v>401</v>
      </c>
      <c r="NB2" s="256" t="s">
        <v>402</v>
      </c>
      <c r="NC2" s="256" t="s">
        <v>403</v>
      </c>
      <c r="ND2" s="255" t="s">
        <v>1628</v>
      </c>
    </row>
    <row r="3" spans="1:368" s="255" customFormat="1" ht="14.4" x14ac:dyDescent="0.3">
      <c r="A3" s="254"/>
      <c r="B3" s="257"/>
      <c r="K3" s="255">
        <v>2</v>
      </c>
    </row>
    <row r="4" spans="1:368" s="255" customFormat="1" ht="14.4" x14ac:dyDescent="0.3">
      <c r="A4" s="254" t="s">
        <v>37</v>
      </c>
      <c r="B4" s="257"/>
      <c r="K4" s="255">
        <v>3</v>
      </c>
    </row>
    <row r="5" spans="1:368" s="255" customFormat="1" ht="14.4" x14ac:dyDescent="0.3">
      <c r="A5" s="254"/>
      <c r="B5" s="257"/>
      <c r="K5" s="255">
        <v>4</v>
      </c>
      <c r="M5" s="258">
        <f>M6/M7</f>
        <v>0.99758475713391181</v>
      </c>
      <c r="N5" s="258">
        <f t="shared" ref="N5:BY5" si="0">N6/N7</f>
        <v>0.99031550276159497</v>
      </c>
      <c r="O5" s="258">
        <f t="shared" si="0"/>
        <v>0.95182030728122913</v>
      </c>
      <c r="P5" s="258">
        <f t="shared" si="0"/>
        <v>0.96603182455272485</v>
      </c>
      <c r="Q5" s="258">
        <f t="shared" si="0"/>
        <v>0.97761283371243868</v>
      </c>
      <c r="R5" s="258">
        <f t="shared" si="0"/>
        <v>0.96795664162784067</v>
      </c>
      <c r="S5" s="258">
        <f t="shared" si="0"/>
        <v>1.0061356863203412</v>
      </c>
      <c r="T5" s="258">
        <f t="shared" si="0"/>
        <v>0.97406778145399264</v>
      </c>
      <c r="U5" s="258">
        <f t="shared" si="0"/>
        <v>1.016434627865592</v>
      </c>
      <c r="V5" s="258">
        <f t="shared" si="0"/>
        <v>1.0013076507949688</v>
      </c>
      <c r="W5" s="258">
        <f t="shared" si="0"/>
        <v>0.95447266071837111</v>
      </c>
      <c r="X5" s="258">
        <f t="shared" si="0"/>
        <v>0.98281173266663691</v>
      </c>
      <c r="Y5" s="258">
        <f t="shared" si="0"/>
        <v>0.98560736902705814</v>
      </c>
      <c r="Z5" s="258">
        <f t="shared" si="0"/>
        <v>1.0117391689554354</v>
      </c>
      <c r="AA5" s="258">
        <f t="shared" si="0"/>
        <v>1.0240132356416922</v>
      </c>
      <c r="AB5" s="258">
        <f t="shared" si="0"/>
        <v>1.0511276380291985</v>
      </c>
      <c r="AC5" s="258">
        <f t="shared" si="0"/>
        <v>0.99522145158647812</v>
      </c>
      <c r="AD5" s="258">
        <f t="shared" si="0"/>
        <v>0.91542535584243623</v>
      </c>
      <c r="AE5" s="258">
        <f t="shared" si="0"/>
        <v>1.0444765888684728</v>
      </c>
      <c r="AF5" s="258">
        <f t="shared" si="0"/>
        <v>0.9649188281395783</v>
      </c>
      <c r="AG5" s="258">
        <f t="shared" si="0"/>
        <v>1.0336280620379765</v>
      </c>
      <c r="AH5" s="258">
        <f t="shared" si="0"/>
        <v>1.0660869565217392</v>
      </c>
      <c r="AI5" s="258">
        <f t="shared" si="0"/>
        <v>0.9487113622741673</v>
      </c>
      <c r="AJ5" s="258">
        <f t="shared" si="0"/>
        <v>0.99191388545529457</v>
      </c>
      <c r="AK5" s="258">
        <f t="shared" si="0"/>
        <v>0.95973507609982889</v>
      </c>
      <c r="AL5" s="258">
        <f t="shared" si="0"/>
        <v>0.98023504273504269</v>
      </c>
      <c r="AM5" s="258">
        <f t="shared" si="0"/>
        <v>0.96765855124736999</v>
      </c>
      <c r="AN5" s="258">
        <f t="shared" si="0"/>
        <v>0.97794846382556988</v>
      </c>
      <c r="AO5" s="258">
        <f t="shared" si="0"/>
        <v>0.98776194467728418</v>
      </c>
      <c r="AP5" s="258">
        <f t="shared" si="0"/>
        <v>0.99367168712821163</v>
      </c>
      <c r="AQ5" s="258">
        <f t="shared" si="0"/>
        <v>0.97590966122961109</v>
      </c>
      <c r="AR5" s="258">
        <f t="shared" si="0"/>
        <v>0.97586805555555556</v>
      </c>
      <c r="AS5" s="258">
        <f t="shared" si="0"/>
        <v>0.9027632950990615</v>
      </c>
      <c r="AT5" s="258">
        <f t="shared" si="0"/>
        <v>0.97108535163838883</v>
      </c>
      <c r="AU5" s="258">
        <f t="shared" si="0"/>
        <v>0.96312419974391805</v>
      </c>
      <c r="AV5" s="258">
        <f t="shared" si="0"/>
        <v>0.97097687588485138</v>
      </c>
      <c r="AW5" s="258">
        <f t="shared" si="0"/>
        <v>0.99645613482438178</v>
      </c>
      <c r="AX5" s="258">
        <f t="shared" si="0"/>
        <v>0.99613899613899615</v>
      </c>
      <c r="AY5" s="258">
        <f t="shared" si="0"/>
        <v>0.97515848064732258</v>
      </c>
      <c r="AZ5" s="258">
        <f t="shared" si="0"/>
        <v>0.98023190478622879</v>
      </c>
      <c r="BA5" s="258">
        <f t="shared" si="0"/>
        <v>0.97221587011205124</v>
      </c>
      <c r="BB5" s="258">
        <f t="shared" si="0"/>
        <v>0.95467980295566501</v>
      </c>
      <c r="BC5" s="258">
        <f t="shared" si="0"/>
        <v>0.96910504285429544</v>
      </c>
      <c r="BD5" s="258">
        <f t="shared" si="0"/>
        <v>0.97668804745154836</v>
      </c>
      <c r="BE5" s="258">
        <f t="shared" si="0"/>
        <v>0.95621468926553677</v>
      </c>
      <c r="BF5" s="258">
        <f t="shared" si="0"/>
        <v>0.97793212590117817</v>
      </c>
      <c r="BG5" s="258">
        <f t="shared" si="0"/>
        <v>0.97016274864376129</v>
      </c>
      <c r="BH5" s="258">
        <f t="shared" si="0"/>
        <v>0.9680276957539965</v>
      </c>
      <c r="BI5" s="258">
        <f t="shared" si="0"/>
        <v>0.98305219605346916</v>
      </c>
      <c r="BJ5" s="258">
        <f t="shared" si="0"/>
        <v>1.0118647862099843</v>
      </c>
      <c r="BK5" s="258">
        <f t="shared" si="0"/>
        <v>1.0435512670426998</v>
      </c>
      <c r="BL5" s="258">
        <f t="shared" si="0"/>
        <v>0.96400548013451237</v>
      </c>
      <c r="BM5" s="258">
        <f t="shared" si="0"/>
        <v>0.95882207679960485</v>
      </c>
      <c r="BN5" s="258">
        <f t="shared" si="0"/>
        <v>0.96587505348737701</v>
      </c>
      <c r="BO5" s="258">
        <f t="shared" si="0"/>
        <v>0.94073000758987102</v>
      </c>
      <c r="BP5" s="258">
        <f t="shared" si="0"/>
        <v>1.0082916145181477</v>
      </c>
      <c r="BQ5" s="258">
        <f t="shared" si="0"/>
        <v>0.96251171508903466</v>
      </c>
      <c r="BR5" s="258">
        <f t="shared" si="0"/>
        <v>1.0071105365223012</v>
      </c>
      <c r="BS5" s="258">
        <f t="shared" si="0"/>
        <v>0.99091781259993605</v>
      </c>
      <c r="BT5" s="258">
        <f t="shared" si="0"/>
        <v>0.976457399103139</v>
      </c>
      <c r="BU5" s="258">
        <f t="shared" si="0"/>
        <v>0.99273545483767278</v>
      </c>
      <c r="BV5" s="258">
        <f t="shared" si="0"/>
        <v>0.98079271677584101</v>
      </c>
      <c r="BW5" s="258">
        <f t="shared" si="0"/>
        <v>0.97007057982667744</v>
      </c>
      <c r="BX5" s="258">
        <f t="shared" si="0"/>
        <v>0.98355945730247407</v>
      </c>
      <c r="BY5" s="258">
        <f t="shared" si="0"/>
        <v>0.96240222053999491</v>
      </c>
      <c r="BZ5" s="258">
        <f t="shared" ref="BZ5:EK5" si="1">BZ6/BZ7</f>
        <v>0.95002449779519849</v>
      </c>
      <c r="CA5" s="258">
        <f t="shared" si="1"/>
        <v>1.1539761118969041</v>
      </c>
      <c r="CB5" s="258">
        <f t="shared" si="1"/>
        <v>0.94665793994927594</v>
      </c>
      <c r="CC5" s="258">
        <f t="shared" si="1"/>
        <v>0.98086707273378715</v>
      </c>
      <c r="CD5" s="258">
        <f t="shared" si="1"/>
        <v>1.0017613290423588</v>
      </c>
      <c r="CE5" s="258">
        <f t="shared" si="1"/>
        <v>0.97622377622377621</v>
      </c>
      <c r="CF5" s="258">
        <f t="shared" si="1"/>
        <v>0.93701435231739649</v>
      </c>
      <c r="CG5" s="258">
        <f t="shared" si="1"/>
        <v>0.98904213111656902</v>
      </c>
      <c r="CH5" s="258">
        <f t="shared" si="1"/>
        <v>0.98170615025450647</v>
      </c>
      <c r="CI5" s="258">
        <f t="shared" si="1"/>
        <v>0.97936043936575423</v>
      </c>
      <c r="CJ5" s="258">
        <f t="shared" si="1"/>
        <v>0.98853090685432077</v>
      </c>
      <c r="CK5" s="258">
        <f t="shared" si="1"/>
        <v>0.96966439746805211</v>
      </c>
      <c r="CL5" s="258">
        <f t="shared" si="1"/>
        <v>0.98061389337641358</v>
      </c>
      <c r="CM5" s="258">
        <f t="shared" si="1"/>
        <v>0.9971247843588269</v>
      </c>
      <c r="CN5" s="258">
        <f t="shared" si="1"/>
        <v>0.95655919271474277</v>
      </c>
      <c r="CO5" s="258">
        <f t="shared" si="1"/>
        <v>0.99562505817741787</v>
      </c>
      <c r="CP5" s="258">
        <f t="shared" si="1"/>
        <v>0.97273038711887638</v>
      </c>
      <c r="CQ5" s="258">
        <f t="shared" si="1"/>
        <v>0.97903439153439153</v>
      </c>
      <c r="CR5" s="258">
        <f t="shared" si="1"/>
        <v>0.99226888020833337</v>
      </c>
      <c r="CS5" s="258">
        <f t="shared" si="1"/>
        <v>0.96382235528942117</v>
      </c>
      <c r="CT5" s="258">
        <f t="shared" si="1"/>
        <v>0.95239228755058325</v>
      </c>
      <c r="CU5" s="258">
        <f t="shared" si="1"/>
        <v>0.97148154688327737</v>
      </c>
      <c r="CV5" s="258">
        <f t="shared" si="1"/>
        <v>1.058248129951755</v>
      </c>
      <c r="CW5" s="258">
        <f t="shared" si="1"/>
        <v>0.96889696451474994</v>
      </c>
      <c r="CX5" s="258">
        <f t="shared" si="1"/>
        <v>0.98217327816987099</v>
      </c>
      <c r="CY5" s="258">
        <f t="shared" si="1"/>
        <v>0.97042157751586577</v>
      </c>
      <c r="CZ5" s="258">
        <f t="shared" si="1"/>
        <v>1.045266012602696</v>
      </c>
      <c r="DA5" s="258">
        <f t="shared" si="1"/>
        <v>0.96894282188399838</v>
      </c>
      <c r="DB5" s="258">
        <f t="shared" si="1"/>
        <v>1.0039440659734673</v>
      </c>
      <c r="DC5" s="258">
        <f t="shared" si="1"/>
        <v>0.98224480175980722</v>
      </c>
      <c r="DD5" s="258">
        <f t="shared" si="1"/>
        <v>0.94950100655330449</v>
      </c>
      <c r="DE5" s="258">
        <f t="shared" si="1"/>
        <v>0.96752775184147732</v>
      </c>
      <c r="DF5" s="258">
        <f t="shared" si="1"/>
        <v>0.99611179984221798</v>
      </c>
      <c r="DG5" s="258">
        <f t="shared" si="1"/>
        <v>1.0170162247724575</v>
      </c>
      <c r="DH5" s="258">
        <f t="shared" si="1"/>
        <v>0.9685906040268456</v>
      </c>
      <c r="DI5" s="258">
        <f t="shared" si="1"/>
        <v>0.98973542164410233</v>
      </c>
      <c r="DJ5" s="258">
        <f t="shared" si="1"/>
        <v>0.95808739418897282</v>
      </c>
      <c r="DK5" s="258">
        <f t="shared" si="1"/>
        <v>0.94302808171185248</v>
      </c>
      <c r="DL5" s="258">
        <f t="shared" si="1"/>
        <v>0.97365627713982439</v>
      </c>
      <c r="DM5" s="258">
        <f t="shared" si="1"/>
        <v>0.96810225270812245</v>
      </c>
      <c r="DN5" s="258">
        <f t="shared" si="1"/>
        <v>0.95828006972690294</v>
      </c>
      <c r="DO5" s="258">
        <f t="shared" si="1"/>
        <v>0.9956637459254164</v>
      </c>
      <c r="DP5" s="258">
        <f t="shared" si="1"/>
        <v>0.96962488563586458</v>
      </c>
      <c r="DQ5" s="258">
        <f t="shared" si="1"/>
        <v>1.0033486734833823</v>
      </c>
      <c r="DR5" s="258">
        <f t="shared" si="1"/>
        <v>1.1599982824509425</v>
      </c>
      <c r="DS5" s="258">
        <f t="shared" si="1"/>
        <v>0.95077908839376735</v>
      </c>
      <c r="DT5" s="258">
        <f t="shared" si="1"/>
        <v>0.9697056301800514</v>
      </c>
      <c r="DU5" s="258">
        <f t="shared" si="1"/>
        <v>0.98338089642437465</v>
      </c>
      <c r="DV5" s="258">
        <f t="shared" si="1"/>
        <v>1.0180150714323093</v>
      </c>
      <c r="DW5" s="258">
        <f t="shared" si="1"/>
        <v>1.0096113404470752</v>
      </c>
      <c r="DX5" s="258">
        <f t="shared" si="1"/>
        <v>0.98290917232629305</v>
      </c>
      <c r="DY5" s="258">
        <f t="shared" si="1"/>
        <v>0.97226924627166467</v>
      </c>
      <c r="DZ5" s="258">
        <f t="shared" si="1"/>
        <v>1.0119847557917963</v>
      </c>
      <c r="EA5" s="258">
        <f t="shared" si="1"/>
        <v>0.94202120520735477</v>
      </c>
      <c r="EB5" s="258">
        <f t="shared" si="1"/>
        <v>0.95319312644267762</v>
      </c>
      <c r="EC5" s="258">
        <f t="shared" si="1"/>
        <v>0.95224613061532659</v>
      </c>
      <c r="ED5" s="258">
        <f t="shared" si="1"/>
        <v>0.98316076914324724</v>
      </c>
      <c r="EE5" s="258">
        <f t="shared" si="1"/>
        <v>0.95193221412733608</v>
      </c>
      <c r="EF5" s="258">
        <f t="shared" si="1"/>
        <v>0.95822816759212515</v>
      </c>
      <c r="EG5" s="258">
        <f t="shared" si="1"/>
        <v>0.96149268956137368</v>
      </c>
      <c r="EH5" s="258">
        <f t="shared" si="1"/>
        <v>0.97796177811232388</v>
      </c>
      <c r="EI5" s="258">
        <f t="shared" si="1"/>
        <v>0.98057682269009916</v>
      </c>
      <c r="EJ5" s="258">
        <f t="shared" si="1"/>
        <v>0.97463926541320511</v>
      </c>
      <c r="EK5" s="258">
        <f t="shared" si="1"/>
        <v>0.98116009280742456</v>
      </c>
      <c r="EL5" s="258">
        <f t="shared" ref="EL5:GW5" si="2">EL6/EL7</f>
        <v>0.94899514408251517</v>
      </c>
      <c r="EM5" s="258">
        <f t="shared" si="2"/>
        <v>0.98341057156289879</v>
      </c>
      <c r="EN5" s="258">
        <f t="shared" si="2"/>
        <v>0.99972171202760618</v>
      </c>
      <c r="EO5" s="258">
        <f t="shared" si="2"/>
        <v>0.99362557614984803</v>
      </c>
      <c r="EP5" s="258">
        <f t="shared" si="2"/>
        <v>0.98627578366087376</v>
      </c>
      <c r="EQ5" s="258">
        <f t="shared" si="2"/>
        <v>0.97385080488876252</v>
      </c>
      <c r="ER5" s="258">
        <f t="shared" si="2"/>
        <v>0.99538299242372352</v>
      </c>
      <c r="ES5" s="258">
        <f t="shared" si="2"/>
        <v>0.9852900360810436</v>
      </c>
      <c r="ET5" s="258">
        <f t="shared" si="2"/>
        <v>0.97441775647371442</v>
      </c>
      <c r="EU5" s="258">
        <f t="shared" si="2"/>
        <v>0.98913595288861811</v>
      </c>
      <c r="EV5" s="258">
        <f t="shared" si="2"/>
        <v>0.95151695419393223</v>
      </c>
      <c r="EW5" s="258">
        <f t="shared" si="2"/>
        <v>0.99622738775892772</v>
      </c>
      <c r="EX5" s="258">
        <f t="shared" si="2"/>
        <v>0.97366542397080991</v>
      </c>
      <c r="EY5" s="258">
        <f t="shared" si="2"/>
        <v>0.97653014265991711</v>
      </c>
      <c r="EZ5" s="258">
        <f t="shared" si="2"/>
        <v>0.94055313722903755</v>
      </c>
      <c r="FA5" s="258">
        <f t="shared" si="2"/>
        <v>0.97969543147208127</v>
      </c>
      <c r="FB5" s="258">
        <f t="shared" si="2"/>
        <v>0.95997780947852274</v>
      </c>
      <c r="FC5" s="258">
        <f t="shared" si="2"/>
        <v>0.99700779786012206</v>
      </c>
      <c r="FD5" s="258">
        <f t="shared" si="2"/>
        <v>1.0016817086159537</v>
      </c>
      <c r="FE5" s="258">
        <f t="shared" si="2"/>
        <v>0.98697164127932602</v>
      </c>
      <c r="FF5" s="258">
        <f t="shared" si="2"/>
        <v>0.97183470725005283</v>
      </c>
      <c r="FG5" s="258">
        <f t="shared" si="2"/>
        <v>0.92684183410613086</v>
      </c>
      <c r="FH5" s="258">
        <f t="shared" si="2"/>
        <v>0.99694592906226143</v>
      </c>
      <c r="FI5" s="258">
        <f t="shared" si="2"/>
        <v>0.97467166979362097</v>
      </c>
      <c r="FJ5" s="258">
        <f t="shared" si="2"/>
        <v>0.97206555047297594</v>
      </c>
      <c r="FK5" s="258">
        <f t="shared" si="2"/>
        <v>0.96964649268924674</v>
      </c>
      <c r="FL5" s="258">
        <f t="shared" si="2"/>
        <v>0.97681342811418359</v>
      </c>
      <c r="FM5" s="258">
        <f t="shared" si="2"/>
        <v>0.959025703588406</v>
      </c>
      <c r="FN5" s="258">
        <f t="shared" si="2"/>
        <v>0.97656497413702104</v>
      </c>
      <c r="FO5" s="258">
        <f t="shared" si="2"/>
        <v>0.97752453308008869</v>
      </c>
      <c r="FP5" s="258">
        <f t="shared" si="2"/>
        <v>0.98554297413613001</v>
      </c>
      <c r="FQ5" s="258">
        <f t="shared" si="2"/>
        <v>0.98457664463330186</v>
      </c>
      <c r="FR5" s="258">
        <f t="shared" si="2"/>
        <v>0.97829142589411211</v>
      </c>
      <c r="FS5" s="258">
        <f t="shared" si="2"/>
        <v>0.97497519567853597</v>
      </c>
      <c r="FT5" s="258">
        <f t="shared" si="2"/>
        <v>0.99387254901960786</v>
      </c>
      <c r="FU5" s="258">
        <f t="shared" si="2"/>
        <v>0.99905579399141631</v>
      </c>
      <c r="FV5" s="258">
        <f t="shared" si="2"/>
        <v>0.97055062899566924</v>
      </c>
      <c r="FW5" s="258">
        <f t="shared" si="2"/>
        <v>0.91740740740740745</v>
      </c>
      <c r="FX5" s="258">
        <f t="shared" si="2"/>
        <v>0.99699675713669544</v>
      </c>
      <c r="FY5" s="258">
        <f t="shared" si="2"/>
        <v>1.1456912688862146</v>
      </c>
      <c r="FZ5" s="258">
        <f t="shared" si="2"/>
        <v>1.0027229969469429</v>
      </c>
      <c r="GA5" s="258">
        <f t="shared" si="2"/>
        <v>0.98519380684278912</v>
      </c>
      <c r="GB5" s="258">
        <f t="shared" si="2"/>
        <v>1.0169537217313165</v>
      </c>
      <c r="GC5" s="258">
        <f t="shared" si="2"/>
        <v>0.97179839919959976</v>
      </c>
      <c r="GD5" s="258">
        <f t="shared" si="2"/>
        <v>0.98803956145058647</v>
      </c>
      <c r="GE5" s="258">
        <f t="shared" si="2"/>
        <v>0.98369565217391308</v>
      </c>
      <c r="GF5" s="258">
        <f t="shared" si="2"/>
        <v>0.98393030009680538</v>
      </c>
      <c r="GG5" s="258">
        <f t="shared" si="2"/>
        <v>0.97224430312665611</v>
      </c>
      <c r="GH5" s="258">
        <f t="shared" si="2"/>
        <v>0.96810452493034871</v>
      </c>
      <c r="GI5" s="258">
        <f t="shared" si="2"/>
        <v>0.97735586134819719</v>
      </c>
      <c r="GJ5" s="258">
        <f t="shared" si="2"/>
        <v>0.91359078301685515</v>
      </c>
      <c r="GK5" s="258">
        <f t="shared" si="2"/>
        <v>0.95362141178874249</v>
      </c>
      <c r="GL5" s="258">
        <f t="shared" si="2"/>
        <v>1.0155215027187345</v>
      </c>
      <c r="GM5" s="258">
        <f t="shared" si="2"/>
        <v>0.96739130434782605</v>
      </c>
      <c r="GN5" s="258">
        <f t="shared" si="2"/>
        <v>0.9716844462004478</v>
      </c>
      <c r="GO5" s="258">
        <f t="shared" si="2"/>
        <v>1.1078873740559247</v>
      </c>
      <c r="GP5" s="258">
        <f t="shared" si="2"/>
        <v>0.98816753926701573</v>
      </c>
      <c r="GQ5" s="258">
        <f t="shared" si="2"/>
        <v>0.98458685826862902</v>
      </c>
      <c r="GR5" s="258">
        <f t="shared" si="2"/>
        <v>0.99209703566465957</v>
      </c>
      <c r="GS5" s="258">
        <f t="shared" si="2"/>
        <v>0.95741593590309759</v>
      </c>
      <c r="GT5" s="258">
        <f t="shared" si="2"/>
        <v>0.9697251192838745</v>
      </c>
      <c r="GU5" s="258">
        <f t="shared" si="2"/>
        <v>0.98899291497975705</v>
      </c>
      <c r="GV5" s="258">
        <f t="shared" si="2"/>
        <v>1.0002086521073863</v>
      </c>
      <c r="GW5" s="258">
        <f t="shared" si="2"/>
        <v>0.98175169524621009</v>
      </c>
      <c r="GX5" s="258">
        <f t="shared" ref="GX5:JI5" si="3">GX6/GX7</f>
        <v>0.98011670628917225</v>
      </c>
      <c r="GY5" s="258">
        <f t="shared" si="3"/>
        <v>0.97800133325253014</v>
      </c>
      <c r="GZ5" s="258">
        <f t="shared" si="3"/>
        <v>0.97506538796861375</v>
      </c>
      <c r="HA5" s="258">
        <f t="shared" si="3"/>
        <v>0.97933027580574228</v>
      </c>
      <c r="HB5" s="258">
        <f t="shared" si="3"/>
        <v>0.98606271777003485</v>
      </c>
      <c r="HC5" s="258">
        <f t="shared" si="3"/>
        <v>0.98719019771651351</v>
      </c>
      <c r="HD5" s="258">
        <f t="shared" si="3"/>
        <v>1.0083455509191384</v>
      </c>
      <c r="HE5" s="258">
        <f t="shared" si="3"/>
        <v>0.9730454606410085</v>
      </c>
      <c r="HF5" s="258">
        <f t="shared" si="3"/>
        <v>1.0048883649979199</v>
      </c>
      <c r="HG5" s="258">
        <f t="shared" si="3"/>
        <v>1.0161767263871977</v>
      </c>
      <c r="HH5" s="258">
        <f t="shared" si="3"/>
        <v>1.0013856012932278</v>
      </c>
      <c r="HI5" s="258">
        <f t="shared" si="3"/>
        <v>1.1815656472949325</v>
      </c>
      <c r="HJ5" s="258">
        <f t="shared" si="3"/>
        <v>0.98286806883365196</v>
      </c>
      <c r="HK5" s="258">
        <f t="shared" si="3"/>
        <v>0.93848763936015511</v>
      </c>
      <c r="HL5" s="258">
        <f t="shared" si="3"/>
        <v>0.78856502242152471</v>
      </c>
      <c r="HM5" s="258">
        <f t="shared" si="3"/>
        <v>0.9359519470878046</v>
      </c>
      <c r="HN5" s="258">
        <f t="shared" si="3"/>
        <v>0.95813052547928879</v>
      </c>
      <c r="HO5" s="258">
        <f t="shared" si="3"/>
        <v>0.96874059207225294</v>
      </c>
      <c r="HP5" s="258">
        <f t="shared" si="3"/>
        <v>1</v>
      </c>
      <c r="HQ5" s="258">
        <f t="shared" si="3"/>
        <v>0.98138176508168296</v>
      </c>
      <c r="HR5" s="258">
        <f t="shared" si="3"/>
        <v>0.98112686429755114</v>
      </c>
      <c r="HS5" s="258">
        <f t="shared" si="3"/>
        <v>0.95530445699937228</v>
      </c>
      <c r="HT5" s="258">
        <f t="shared" si="3"/>
        <v>0.96049573973663827</v>
      </c>
      <c r="HU5" s="258">
        <f t="shared" si="3"/>
        <v>0.97249190938511332</v>
      </c>
      <c r="HV5" s="258">
        <f t="shared" si="3"/>
        <v>0.9829362524146813</v>
      </c>
      <c r="HW5" s="258">
        <f t="shared" si="3"/>
        <v>0.95490625427672093</v>
      </c>
      <c r="HX5" s="258">
        <f t="shared" si="3"/>
        <v>0.9717762817193164</v>
      </c>
      <c r="HY5" s="258">
        <f t="shared" si="3"/>
        <v>0.9848384093629472</v>
      </c>
      <c r="HZ5" s="258">
        <f t="shared" si="3"/>
        <v>0.95902401239349344</v>
      </c>
      <c r="IA5" s="258">
        <f t="shared" si="3"/>
        <v>0.98938707369425227</v>
      </c>
      <c r="IB5" s="258">
        <f t="shared" si="3"/>
        <v>0.9977783702123878</v>
      </c>
      <c r="IC5" s="258">
        <f t="shared" si="3"/>
        <v>0.99586173320350535</v>
      </c>
      <c r="ID5" s="258">
        <f t="shared" si="3"/>
        <v>1.019785655399835</v>
      </c>
      <c r="IE5" s="258">
        <f t="shared" si="3"/>
        <v>0.95904776484996934</v>
      </c>
      <c r="IF5" s="258">
        <f t="shared" si="3"/>
        <v>0.99402355858648483</v>
      </c>
      <c r="IG5" s="258">
        <f t="shared" si="3"/>
        <v>0.97890925808861562</v>
      </c>
      <c r="IH5" s="258">
        <f t="shared" si="3"/>
        <v>0.99571156289707752</v>
      </c>
      <c r="II5" s="258">
        <f t="shared" si="3"/>
        <v>0.96729185727355904</v>
      </c>
      <c r="IJ5" s="258">
        <f t="shared" si="3"/>
        <v>0.97824234220684814</v>
      </c>
      <c r="IK5" s="258">
        <f t="shared" si="3"/>
        <v>0.98055150378551093</v>
      </c>
      <c r="IL5" s="258">
        <f t="shared" si="3"/>
        <v>0.98347736290015764</v>
      </c>
      <c r="IM5" s="258">
        <f t="shared" si="3"/>
        <v>0.96033945271908561</v>
      </c>
      <c r="IN5" s="258">
        <f t="shared" si="3"/>
        <v>0.97938335809806831</v>
      </c>
      <c r="IO5" s="258">
        <f t="shared" si="3"/>
        <v>0.97733031797498704</v>
      </c>
      <c r="IP5" s="258">
        <f t="shared" si="3"/>
        <v>0.98920530482163049</v>
      </c>
      <c r="IQ5" s="258">
        <f t="shared" si="3"/>
        <v>0.9783046157716011</v>
      </c>
      <c r="IR5" s="258">
        <f t="shared" si="3"/>
        <v>0.97913529791352982</v>
      </c>
      <c r="IS5" s="258">
        <f t="shared" si="3"/>
        <v>0.96850183516850186</v>
      </c>
      <c r="IT5" s="258">
        <f t="shared" si="3"/>
        <v>0.93158388003748827</v>
      </c>
      <c r="IU5" s="258">
        <f t="shared" si="3"/>
        <v>0.99380014587892052</v>
      </c>
      <c r="IV5" s="258">
        <f t="shared" si="3"/>
        <v>0.9846784838770507</v>
      </c>
      <c r="IW5" s="258">
        <f t="shared" si="3"/>
        <v>1.0043768996960487</v>
      </c>
      <c r="IX5" s="258">
        <f t="shared" si="3"/>
        <v>0.99179389312977095</v>
      </c>
      <c r="IY5" s="258">
        <f t="shared" si="3"/>
        <v>0.96917344173441733</v>
      </c>
      <c r="IZ5" s="258">
        <f t="shared" si="3"/>
        <v>0.97450288050548228</v>
      </c>
      <c r="JA5" s="258">
        <f t="shared" si="3"/>
        <v>0.99029228658858293</v>
      </c>
      <c r="JB5" s="258">
        <f t="shared" si="3"/>
        <v>1.0113928171000759</v>
      </c>
      <c r="JC5" s="258">
        <f t="shared" si="3"/>
        <v>1.0198736296376303</v>
      </c>
      <c r="JD5" s="258">
        <f t="shared" si="3"/>
        <v>0.98945225235415546</v>
      </c>
      <c r="JE5" s="258">
        <f t="shared" si="3"/>
        <v>1.0284378812605961</v>
      </c>
      <c r="JF5" s="258">
        <f t="shared" si="3"/>
        <v>0.99127906976744184</v>
      </c>
      <c r="JG5" s="258">
        <f t="shared" si="3"/>
        <v>0.9957238851557727</v>
      </c>
      <c r="JH5" s="258">
        <f t="shared" si="3"/>
        <v>1.0043277269597719</v>
      </c>
      <c r="JI5" s="258">
        <f t="shared" si="3"/>
        <v>0.97601199400299854</v>
      </c>
      <c r="JJ5" s="258">
        <f t="shared" ref="JJ5:LU5" si="4">JJ6/JJ7</f>
        <v>0.99286710286388502</v>
      </c>
      <c r="JK5" s="258">
        <f t="shared" si="4"/>
        <v>0.90289608177172065</v>
      </c>
      <c r="JL5" s="258">
        <f t="shared" si="4"/>
        <v>0.91962104510516596</v>
      </c>
      <c r="JM5" s="258">
        <f t="shared" si="4"/>
        <v>0.94426229508196724</v>
      </c>
      <c r="JN5" s="258">
        <f t="shared" si="4"/>
        <v>0.95681677976557677</v>
      </c>
      <c r="JO5" s="258">
        <f t="shared" si="4"/>
        <v>0.97718131823032095</v>
      </c>
      <c r="JP5" s="258">
        <f t="shared" si="4"/>
        <v>0.96943699731903488</v>
      </c>
      <c r="JQ5" s="258">
        <f t="shared" si="4"/>
        <v>0.9470545054138374</v>
      </c>
      <c r="JR5" s="258">
        <f t="shared" si="4"/>
        <v>0.79852112676056342</v>
      </c>
      <c r="JS5" s="258">
        <f t="shared" si="4"/>
        <v>0.9678283141881403</v>
      </c>
      <c r="JT5" s="258">
        <f t="shared" si="4"/>
        <v>0.98560316923522873</v>
      </c>
      <c r="JU5" s="258">
        <f t="shared" si="4"/>
        <v>1.0020954024405275</v>
      </c>
      <c r="JV5" s="258">
        <f t="shared" si="4"/>
        <v>0.98776418242491659</v>
      </c>
      <c r="JW5" s="258">
        <f t="shared" si="4"/>
        <v>0.95461679309442848</v>
      </c>
      <c r="JX5" s="258">
        <f t="shared" si="4"/>
        <v>0.99005562110230916</v>
      </c>
      <c r="JY5" s="258">
        <f t="shared" si="4"/>
        <v>0.9927165996303946</v>
      </c>
      <c r="JZ5" s="258">
        <f t="shared" si="4"/>
        <v>1.1466500527173391</v>
      </c>
      <c r="KA5" s="258">
        <f t="shared" si="4"/>
        <v>0.95429307951616105</v>
      </c>
      <c r="KB5" s="258">
        <f t="shared" si="4"/>
        <v>0.97838983050847461</v>
      </c>
      <c r="KC5" s="258">
        <f t="shared" si="4"/>
        <v>0.9764965497915864</v>
      </c>
      <c r="KD5" s="258">
        <f t="shared" si="4"/>
        <v>0.94439564092214912</v>
      </c>
      <c r="KE5" s="258">
        <f t="shared" si="4"/>
        <v>0.95093821849736704</v>
      </c>
      <c r="KF5" s="258">
        <f t="shared" si="4"/>
        <v>1.0706498037505452</v>
      </c>
      <c r="KG5" s="258">
        <f t="shared" si="4"/>
        <v>0.95835212749962406</v>
      </c>
      <c r="KH5" s="258">
        <f t="shared" si="4"/>
        <v>0.97588484546360921</v>
      </c>
      <c r="KI5" s="258">
        <f t="shared" si="4"/>
        <v>0.95065100610033693</v>
      </c>
      <c r="KJ5" s="258">
        <f t="shared" si="4"/>
        <v>1.0263827433628319</v>
      </c>
      <c r="KK5" s="258">
        <f t="shared" si="4"/>
        <v>1.068563404967237</v>
      </c>
      <c r="KL5" s="258">
        <f t="shared" si="4"/>
        <v>0.93967921896792195</v>
      </c>
      <c r="KM5" s="258">
        <f t="shared" si="4"/>
        <v>0.95100947970185978</v>
      </c>
      <c r="KN5" s="258">
        <f t="shared" si="4"/>
        <v>0.98</v>
      </c>
      <c r="KO5" s="258">
        <f t="shared" si="4"/>
        <v>0.95741953859299345</v>
      </c>
      <c r="KP5" s="258">
        <f t="shared" si="4"/>
        <v>0.97223682826795665</v>
      </c>
      <c r="KQ5" s="258">
        <f t="shared" si="4"/>
        <v>0.98284614038158591</v>
      </c>
      <c r="KR5" s="258">
        <f t="shared" si="4"/>
        <v>0.99649423496416334</v>
      </c>
      <c r="KS5" s="258">
        <f t="shared" si="4"/>
        <v>0.9339636800240132</v>
      </c>
      <c r="KT5" s="258">
        <f t="shared" si="4"/>
        <v>1.1512401230549278</v>
      </c>
      <c r="KU5" s="258">
        <f t="shared" si="4"/>
        <v>0.98593098391457767</v>
      </c>
      <c r="KV5" s="258">
        <f t="shared" si="4"/>
        <v>0.94143988976920423</v>
      </c>
      <c r="KW5" s="258">
        <f t="shared" si="4"/>
        <v>0.95089661812492476</v>
      </c>
      <c r="KX5" s="258">
        <f t="shared" si="4"/>
        <v>0.96845660249915566</v>
      </c>
      <c r="KY5" s="258">
        <f t="shared" si="4"/>
        <v>0.98310363622206653</v>
      </c>
      <c r="KZ5" s="258">
        <f t="shared" si="4"/>
        <v>0.97132578563115013</v>
      </c>
      <c r="LA5" s="258">
        <f t="shared" si="4"/>
        <v>0.85766390079328891</v>
      </c>
      <c r="LB5" s="258">
        <f t="shared" si="4"/>
        <v>0.99869432029327576</v>
      </c>
      <c r="LC5" s="258">
        <f t="shared" si="4"/>
        <v>0.99004035098956</v>
      </c>
      <c r="LD5" s="258">
        <f t="shared" si="4"/>
        <v>1.0058424027672319</v>
      </c>
      <c r="LE5" s="258">
        <f t="shared" si="4"/>
        <v>0.97977739457595237</v>
      </c>
      <c r="LF5" s="258">
        <f t="shared" si="4"/>
        <v>0.95890698455339152</v>
      </c>
      <c r="LG5" s="258">
        <f t="shared" si="4"/>
        <v>0.96388497321680289</v>
      </c>
      <c r="LH5" s="258">
        <f t="shared" si="4"/>
        <v>1.084628670120898</v>
      </c>
      <c r="LI5" s="258">
        <f t="shared" si="4"/>
        <v>0.97760509887807223</v>
      </c>
      <c r="LJ5" s="258">
        <f t="shared" si="4"/>
        <v>0.96202096580168417</v>
      </c>
      <c r="LK5" s="258">
        <f t="shared" si="4"/>
        <v>0.97723506323593545</v>
      </c>
      <c r="LL5" s="258">
        <f t="shared" si="4"/>
        <v>0.94568179682360676</v>
      </c>
      <c r="LM5" s="258">
        <f t="shared" si="4"/>
        <v>0.97048354891917699</v>
      </c>
      <c r="LN5" s="258">
        <f t="shared" si="4"/>
        <v>0.95030148859996233</v>
      </c>
      <c r="LO5" s="258">
        <f t="shared" si="4"/>
        <v>0.96291049581455246</v>
      </c>
      <c r="LP5" s="258">
        <f t="shared" si="4"/>
        <v>0.9844632768361582</v>
      </c>
      <c r="LQ5" s="258">
        <f t="shared" si="4"/>
        <v>0.96075251378527404</v>
      </c>
      <c r="LR5" s="258">
        <f t="shared" si="4"/>
        <v>1.2577168331358275</v>
      </c>
      <c r="LS5" s="258">
        <f t="shared" si="4"/>
        <v>0.94387170675830467</v>
      </c>
      <c r="LT5" s="258">
        <f t="shared" si="4"/>
        <v>1.02145101789862</v>
      </c>
      <c r="LU5" s="258">
        <f t="shared" si="4"/>
        <v>0.97664284469234797</v>
      </c>
      <c r="LV5" s="258">
        <f t="shared" ref="LV5:NC5" si="5">LV6/LV7</f>
        <v>0.98271175383277154</v>
      </c>
      <c r="LW5" s="258">
        <f t="shared" si="5"/>
        <v>0.97255089820359286</v>
      </c>
      <c r="LX5" s="258">
        <f t="shared" si="5"/>
        <v>0.99671612746290439</v>
      </c>
      <c r="LY5" s="258">
        <f t="shared" si="5"/>
        <v>0.96096524955142992</v>
      </c>
      <c r="LZ5" s="258">
        <f t="shared" si="5"/>
        <v>1.0151248680970806</v>
      </c>
      <c r="MA5" s="258">
        <f t="shared" si="5"/>
        <v>0.99449650453666516</v>
      </c>
      <c r="MB5" s="258">
        <f t="shared" si="5"/>
        <v>0.93423468536137544</v>
      </c>
      <c r="MC5" s="258">
        <f t="shared" si="5"/>
        <v>1.0176641590661961</v>
      </c>
      <c r="MD5" s="258">
        <f t="shared" si="5"/>
        <v>0.96353855349671247</v>
      </c>
      <c r="ME5" s="258">
        <f t="shared" si="5"/>
        <v>0.95776487663280119</v>
      </c>
      <c r="MF5" s="258">
        <f t="shared" si="5"/>
        <v>0.96673427991886407</v>
      </c>
      <c r="MG5" s="258">
        <f t="shared" si="5"/>
        <v>0.97752871331076963</v>
      </c>
      <c r="MH5" s="258">
        <f t="shared" si="5"/>
        <v>0.98465999438780283</v>
      </c>
      <c r="MI5" s="258">
        <f t="shared" si="5"/>
        <v>0.98614821410903331</v>
      </c>
      <c r="MJ5" s="258">
        <f t="shared" si="5"/>
        <v>0.97168734302458326</v>
      </c>
      <c r="MK5" s="258">
        <f t="shared" si="5"/>
        <v>0.97040340563551586</v>
      </c>
      <c r="ML5" s="258">
        <f t="shared" si="5"/>
        <v>0.98538858228535242</v>
      </c>
      <c r="MM5" s="258">
        <f t="shared" si="5"/>
        <v>0.97782063645130179</v>
      </c>
      <c r="MN5" s="258">
        <f t="shared" si="5"/>
        <v>1.0240998422034142</v>
      </c>
      <c r="MO5" s="258">
        <f t="shared" si="5"/>
        <v>0.97301464919043945</v>
      </c>
      <c r="MP5" s="258">
        <f t="shared" si="5"/>
        <v>1.0147214527100525</v>
      </c>
      <c r="MQ5" s="258">
        <f t="shared" si="5"/>
        <v>0.99922567323410483</v>
      </c>
      <c r="MR5" s="258">
        <f t="shared" si="5"/>
        <v>0.87103419859909348</v>
      </c>
      <c r="MS5" s="258">
        <f t="shared" si="5"/>
        <v>1.0823922562802488</v>
      </c>
      <c r="MT5" s="258">
        <f t="shared" si="5"/>
        <v>0.98762181569499063</v>
      </c>
      <c r="MU5" s="258">
        <f t="shared" si="5"/>
        <v>0.98217325988983473</v>
      </c>
      <c r="MV5" s="258">
        <f t="shared" si="5"/>
        <v>0.99105529774345535</v>
      </c>
      <c r="MW5" s="258">
        <f t="shared" si="5"/>
        <v>0.97140430351075879</v>
      </c>
      <c r="MX5" s="258">
        <f t="shared" si="5"/>
        <v>0.96217625201042645</v>
      </c>
      <c r="MY5" s="258">
        <f t="shared" si="5"/>
        <v>0.99292652027027029</v>
      </c>
      <c r="MZ5" s="258">
        <f t="shared" si="5"/>
        <v>0.99353303094265055</v>
      </c>
      <c r="NA5" s="258">
        <f t="shared" si="5"/>
        <v>0.94889286513084325</v>
      </c>
      <c r="NB5" s="258">
        <f t="shared" si="5"/>
        <v>0.97672493548230022</v>
      </c>
      <c r="NC5" s="258">
        <f t="shared" si="5"/>
        <v>1.0139335293715379</v>
      </c>
    </row>
    <row r="6" spans="1:368" s="255" customFormat="1" ht="14.4" x14ac:dyDescent="0.3">
      <c r="A6" s="254"/>
      <c r="B6" s="257"/>
      <c r="E6" s="255" t="s">
        <v>404</v>
      </c>
      <c r="F6" s="255" t="s">
        <v>407</v>
      </c>
      <c r="G6" s="255" t="s">
        <v>405</v>
      </c>
      <c r="K6" s="255">
        <v>5</v>
      </c>
      <c r="M6" s="256">
        <v>11152</v>
      </c>
      <c r="N6" s="256">
        <v>13089</v>
      </c>
      <c r="O6" s="256">
        <v>11399</v>
      </c>
      <c r="P6" s="256">
        <v>11717</v>
      </c>
      <c r="Q6" s="256">
        <v>8166</v>
      </c>
      <c r="R6" s="256">
        <v>10180</v>
      </c>
      <c r="S6" s="256">
        <v>51654</v>
      </c>
      <c r="T6" s="256">
        <v>32679</v>
      </c>
      <c r="U6" s="256">
        <v>87390</v>
      </c>
      <c r="V6" s="256">
        <v>48241</v>
      </c>
      <c r="W6" s="256">
        <v>4172</v>
      </c>
      <c r="X6" s="256">
        <v>22014</v>
      </c>
      <c r="Y6" s="256">
        <v>1712</v>
      </c>
      <c r="Z6" s="256">
        <v>68517</v>
      </c>
      <c r="AA6" s="256">
        <v>43326</v>
      </c>
      <c r="AB6" s="256">
        <v>470223</v>
      </c>
      <c r="AC6" s="256">
        <v>72894</v>
      </c>
      <c r="AD6" s="256">
        <v>5531</v>
      </c>
      <c r="AE6" s="256">
        <v>80150</v>
      </c>
      <c r="AF6" s="256">
        <v>31026</v>
      </c>
      <c r="AG6" s="256">
        <v>7131</v>
      </c>
      <c r="AH6" s="256">
        <v>3065</v>
      </c>
      <c r="AI6" s="256">
        <v>11080</v>
      </c>
      <c r="AJ6" s="256">
        <v>19259</v>
      </c>
      <c r="AK6" s="256">
        <v>21881</v>
      </c>
      <c r="AL6" s="256">
        <v>7340</v>
      </c>
      <c r="AM6" s="256">
        <v>16097</v>
      </c>
      <c r="AN6" s="256">
        <v>3947</v>
      </c>
      <c r="AO6" s="256">
        <v>5892</v>
      </c>
      <c r="AP6" s="256">
        <v>15702</v>
      </c>
      <c r="AQ6" s="256">
        <v>7778</v>
      </c>
      <c r="AR6" s="256">
        <v>5621</v>
      </c>
      <c r="AS6" s="256">
        <v>13852</v>
      </c>
      <c r="AT6" s="256">
        <v>29991</v>
      </c>
      <c r="AU6" s="256">
        <v>18805</v>
      </c>
      <c r="AV6" s="256">
        <v>12345</v>
      </c>
      <c r="AW6" s="256">
        <v>12653</v>
      </c>
      <c r="AX6" s="256">
        <v>11094</v>
      </c>
      <c r="AY6" s="256">
        <v>18921</v>
      </c>
      <c r="AZ6" s="256">
        <v>19190</v>
      </c>
      <c r="BA6" s="256">
        <v>8503</v>
      </c>
      <c r="BB6" s="256">
        <v>4845</v>
      </c>
      <c r="BC6" s="256">
        <v>9724</v>
      </c>
      <c r="BD6" s="256">
        <v>14161</v>
      </c>
      <c r="BE6" s="256">
        <v>4062</v>
      </c>
      <c r="BF6" s="256">
        <v>11123</v>
      </c>
      <c r="BG6" s="256">
        <v>9657</v>
      </c>
      <c r="BH6" s="256">
        <v>9507</v>
      </c>
      <c r="BI6" s="256">
        <v>12355</v>
      </c>
      <c r="BJ6" s="256">
        <v>13560</v>
      </c>
      <c r="BK6" s="256">
        <v>88250</v>
      </c>
      <c r="BL6" s="256">
        <v>7740</v>
      </c>
      <c r="BM6" s="256">
        <v>15531</v>
      </c>
      <c r="BN6" s="256">
        <v>9029</v>
      </c>
      <c r="BO6" s="256">
        <v>13634</v>
      </c>
      <c r="BP6" s="256">
        <v>6445</v>
      </c>
      <c r="BQ6" s="256">
        <v>8216</v>
      </c>
      <c r="BR6" s="256">
        <v>10906</v>
      </c>
      <c r="BS6" s="256">
        <v>30986</v>
      </c>
      <c r="BT6" s="256">
        <v>15678</v>
      </c>
      <c r="BU6" s="256">
        <v>15442</v>
      </c>
      <c r="BV6" s="256">
        <v>8834</v>
      </c>
      <c r="BW6" s="256">
        <v>10858</v>
      </c>
      <c r="BX6" s="256">
        <v>12324</v>
      </c>
      <c r="BY6" s="256">
        <v>11442</v>
      </c>
      <c r="BZ6" s="256">
        <v>7756</v>
      </c>
      <c r="CA6" s="256">
        <v>58742</v>
      </c>
      <c r="CB6" s="256">
        <v>11571</v>
      </c>
      <c r="CC6" s="256">
        <v>13688</v>
      </c>
      <c r="CD6" s="256">
        <v>46069</v>
      </c>
      <c r="CE6" s="256">
        <v>14658</v>
      </c>
      <c r="CF6" s="256">
        <v>10250</v>
      </c>
      <c r="CG6" s="256">
        <v>5235</v>
      </c>
      <c r="CH6" s="256">
        <v>25651</v>
      </c>
      <c r="CI6" s="256">
        <v>11056</v>
      </c>
      <c r="CJ6" s="256">
        <v>54645</v>
      </c>
      <c r="CK6" s="256">
        <v>8119</v>
      </c>
      <c r="CL6" s="256">
        <v>11533</v>
      </c>
      <c r="CM6" s="256">
        <v>17340</v>
      </c>
      <c r="CN6" s="256">
        <v>7773</v>
      </c>
      <c r="CO6" s="256">
        <v>10696</v>
      </c>
      <c r="CP6" s="256">
        <v>14197</v>
      </c>
      <c r="CQ6" s="256">
        <v>14803</v>
      </c>
      <c r="CR6" s="256">
        <v>48772</v>
      </c>
      <c r="CS6" s="256">
        <v>3863</v>
      </c>
      <c r="CT6" s="256">
        <v>8002</v>
      </c>
      <c r="CU6" s="256">
        <v>11003</v>
      </c>
      <c r="CV6" s="256">
        <v>119545</v>
      </c>
      <c r="CW6" s="256">
        <v>9065</v>
      </c>
      <c r="CX6" s="256">
        <v>48429</v>
      </c>
      <c r="CY6" s="256">
        <v>8563</v>
      </c>
      <c r="CZ6" s="256">
        <v>78627</v>
      </c>
      <c r="DA6" s="256">
        <v>14133</v>
      </c>
      <c r="DB6" s="256">
        <v>11200</v>
      </c>
      <c r="DC6" s="256">
        <v>18754</v>
      </c>
      <c r="DD6" s="256">
        <v>22168</v>
      </c>
      <c r="DE6" s="256">
        <v>9326</v>
      </c>
      <c r="DF6" s="256">
        <v>17677</v>
      </c>
      <c r="DG6" s="256">
        <v>12850</v>
      </c>
      <c r="DH6" s="256">
        <v>7216</v>
      </c>
      <c r="DI6" s="256">
        <v>11185</v>
      </c>
      <c r="DJ6" s="256">
        <v>20939</v>
      </c>
      <c r="DK6" s="256">
        <v>17496</v>
      </c>
      <c r="DL6" s="256">
        <v>10090</v>
      </c>
      <c r="DM6" s="256">
        <v>25828</v>
      </c>
      <c r="DN6" s="256">
        <v>16492</v>
      </c>
      <c r="DO6" s="256">
        <v>33294</v>
      </c>
      <c r="DP6" s="256">
        <v>5299</v>
      </c>
      <c r="DQ6" s="256">
        <v>263371</v>
      </c>
      <c r="DR6" s="256">
        <v>135076</v>
      </c>
      <c r="DS6" s="256">
        <v>6529</v>
      </c>
      <c r="DT6" s="256">
        <v>10179</v>
      </c>
      <c r="DU6" s="256">
        <v>5858</v>
      </c>
      <c r="DV6" s="256">
        <v>77813</v>
      </c>
      <c r="DW6" s="256">
        <v>64812</v>
      </c>
      <c r="DX6" s="256">
        <v>13170</v>
      </c>
      <c r="DY6" s="256">
        <v>24122</v>
      </c>
      <c r="DZ6" s="256">
        <v>20181</v>
      </c>
      <c r="EA6" s="256">
        <v>7019</v>
      </c>
      <c r="EB6" s="256">
        <v>7433</v>
      </c>
      <c r="EC6" s="256">
        <v>5045</v>
      </c>
      <c r="ED6" s="256">
        <v>17282</v>
      </c>
      <c r="EE6" s="256">
        <v>12021</v>
      </c>
      <c r="EF6" s="256">
        <v>7593</v>
      </c>
      <c r="EG6" s="256">
        <v>22622</v>
      </c>
      <c r="EH6" s="256">
        <v>23386</v>
      </c>
      <c r="EI6" s="256">
        <v>45083</v>
      </c>
      <c r="EJ6" s="256">
        <v>6687</v>
      </c>
      <c r="EK6" s="256">
        <v>10572</v>
      </c>
      <c r="EL6" s="256">
        <v>26774</v>
      </c>
      <c r="EM6" s="256">
        <v>14642</v>
      </c>
      <c r="EN6" s="256">
        <v>17962</v>
      </c>
      <c r="EO6" s="256">
        <v>40528</v>
      </c>
      <c r="EP6" s="256">
        <v>12145</v>
      </c>
      <c r="EQ6" s="256">
        <v>37689</v>
      </c>
      <c r="ER6" s="256">
        <v>72654</v>
      </c>
      <c r="ES6" s="256">
        <v>7100</v>
      </c>
      <c r="ET6" s="256">
        <v>18702</v>
      </c>
      <c r="EU6" s="256">
        <v>9742</v>
      </c>
      <c r="EV6" s="256">
        <v>6398</v>
      </c>
      <c r="EW6" s="256">
        <v>42515</v>
      </c>
      <c r="EX6" s="256">
        <v>36825</v>
      </c>
      <c r="EY6" s="256">
        <v>14854</v>
      </c>
      <c r="EZ6" s="256">
        <v>21391</v>
      </c>
      <c r="FA6" s="256">
        <v>20458</v>
      </c>
      <c r="FB6" s="256">
        <v>24226</v>
      </c>
      <c r="FC6" s="256">
        <v>32987</v>
      </c>
      <c r="FD6" s="256">
        <v>17869</v>
      </c>
      <c r="FE6" s="256">
        <v>20151</v>
      </c>
      <c r="FF6" s="256">
        <v>18391</v>
      </c>
      <c r="FG6" s="256">
        <v>12593</v>
      </c>
      <c r="FH6" s="256">
        <v>14363</v>
      </c>
      <c r="FI6" s="256">
        <v>11429</v>
      </c>
      <c r="FJ6" s="256">
        <v>21888</v>
      </c>
      <c r="FK6" s="256">
        <v>5239</v>
      </c>
      <c r="FL6" s="256">
        <v>26246</v>
      </c>
      <c r="FM6" s="256">
        <v>22797</v>
      </c>
      <c r="FN6" s="256">
        <v>9251</v>
      </c>
      <c r="FO6" s="256">
        <v>12352</v>
      </c>
      <c r="FP6" s="256">
        <v>23587</v>
      </c>
      <c r="FQ6" s="256">
        <v>9384</v>
      </c>
      <c r="FR6" s="256">
        <v>6264</v>
      </c>
      <c r="FS6" s="256">
        <v>17688</v>
      </c>
      <c r="FT6" s="256">
        <v>4866</v>
      </c>
      <c r="FU6" s="256">
        <v>11639</v>
      </c>
      <c r="FV6" s="256">
        <v>23531</v>
      </c>
      <c r="FW6" s="256">
        <v>4954</v>
      </c>
      <c r="FX6" s="256">
        <v>62411</v>
      </c>
      <c r="FY6" s="256">
        <v>68549</v>
      </c>
      <c r="FZ6" s="256">
        <v>12152</v>
      </c>
      <c r="GA6" s="256">
        <v>36397</v>
      </c>
      <c r="GB6" s="256">
        <v>33951</v>
      </c>
      <c r="GC6" s="256">
        <v>15541</v>
      </c>
      <c r="GD6" s="256">
        <v>12887</v>
      </c>
      <c r="GE6" s="256">
        <v>19548</v>
      </c>
      <c r="GF6" s="256">
        <v>10164</v>
      </c>
      <c r="GG6" s="256">
        <v>14677</v>
      </c>
      <c r="GH6" s="256">
        <v>10077</v>
      </c>
      <c r="GI6" s="256">
        <v>5611</v>
      </c>
      <c r="GJ6" s="256">
        <v>4282</v>
      </c>
      <c r="GK6" s="256">
        <v>9335</v>
      </c>
      <c r="GL6" s="256">
        <v>10272</v>
      </c>
      <c r="GM6" s="256">
        <v>10502</v>
      </c>
      <c r="GN6" s="256">
        <v>14756</v>
      </c>
      <c r="GO6" s="256">
        <v>68504</v>
      </c>
      <c r="GP6" s="256">
        <v>18874</v>
      </c>
      <c r="GQ6" s="256">
        <v>8496</v>
      </c>
      <c r="GR6" s="256">
        <v>34271</v>
      </c>
      <c r="GS6" s="256">
        <v>15176</v>
      </c>
      <c r="GT6" s="256">
        <v>22966</v>
      </c>
      <c r="GU6" s="256">
        <v>7817</v>
      </c>
      <c r="GV6" s="256">
        <v>14381</v>
      </c>
      <c r="GW6" s="256">
        <v>27653</v>
      </c>
      <c r="GX6" s="256">
        <v>4535</v>
      </c>
      <c r="GY6" s="256">
        <v>16138</v>
      </c>
      <c r="GZ6" s="256">
        <v>16776</v>
      </c>
      <c r="HA6" s="256">
        <v>15588</v>
      </c>
      <c r="HB6" s="256">
        <v>5660</v>
      </c>
      <c r="HC6" s="256">
        <v>3545</v>
      </c>
      <c r="HD6" s="256">
        <v>8941</v>
      </c>
      <c r="HE6" s="256">
        <v>7256</v>
      </c>
      <c r="HF6" s="256">
        <v>28985</v>
      </c>
      <c r="HG6" s="256">
        <v>11684</v>
      </c>
      <c r="HH6" s="256">
        <v>17345</v>
      </c>
      <c r="HI6" s="256">
        <v>96554</v>
      </c>
      <c r="HJ6" s="256">
        <v>38553</v>
      </c>
      <c r="HK6" s="256">
        <v>19361</v>
      </c>
      <c r="HL6" s="256">
        <v>3517</v>
      </c>
      <c r="HM6" s="256">
        <v>13868</v>
      </c>
      <c r="HN6" s="256">
        <v>19291</v>
      </c>
      <c r="HO6" s="256">
        <v>19307</v>
      </c>
      <c r="HP6" s="256">
        <v>10086</v>
      </c>
      <c r="HQ6" s="256">
        <v>10753</v>
      </c>
      <c r="HR6" s="256">
        <v>10657</v>
      </c>
      <c r="HS6" s="256">
        <v>7609</v>
      </c>
      <c r="HT6" s="256">
        <v>11160</v>
      </c>
      <c r="HU6" s="256">
        <v>18030</v>
      </c>
      <c r="HV6" s="256">
        <v>9159</v>
      </c>
      <c r="HW6" s="256">
        <v>13955</v>
      </c>
      <c r="HX6" s="256">
        <v>7506</v>
      </c>
      <c r="HY6" s="256">
        <v>7405</v>
      </c>
      <c r="HZ6" s="256">
        <v>12381</v>
      </c>
      <c r="IA6" s="256">
        <v>24891</v>
      </c>
      <c r="IB6" s="256">
        <v>11228</v>
      </c>
      <c r="IC6" s="256">
        <v>4091</v>
      </c>
      <c r="ID6" s="256">
        <v>4948</v>
      </c>
      <c r="IE6" s="256">
        <v>12529</v>
      </c>
      <c r="IF6" s="256">
        <v>40084</v>
      </c>
      <c r="IG6" s="256">
        <v>17034</v>
      </c>
      <c r="IH6" s="256">
        <v>6269</v>
      </c>
      <c r="II6" s="256">
        <v>4229</v>
      </c>
      <c r="IJ6" s="256">
        <v>19513</v>
      </c>
      <c r="IK6" s="256">
        <v>14117</v>
      </c>
      <c r="IL6" s="256">
        <v>18095</v>
      </c>
      <c r="IM6" s="256">
        <v>5545</v>
      </c>
      <c r="IN6" s="256">
        <v>21092</v>
      </c>
      <c r="IO6" s="256">
        <v>35869</v>
      </c>
      <c r="IP6" s="256">
        <v>9622</v>
      </c>
      <c r="IQ6" s="256">
        <v>15557</v>
      </c>
      <c r="IR6" s="256">
        <v>9104</v>
      </c>
      <c r="IS6" s="256">
        <v>14513</v>
      </c>
      <c r="IT6" s="256">
        <v>1988</v>
      </c>
      <c r="IU6" s="256">
        <v>5450</v>
      </c>
      <c r="IV6" s="256">
        <v>20887</v>
      </c>
      <c r="IW6" s="256">
        <v>8261</v>
      </c>
      <c r="IX6" s="256">
        <v>20788</v>
      </c>
      <c r="IY6" s="256">
        <v>14305</v>
      </c>
      <c r="IZ6" s="256">
        <v>26219</v>
      </c>
      <c r="JA6" s="256">
        <v>9385</v>
      </c>
      <c r="JB6" s="256">
        <v>27964</v>
      </c>
      <c r="JC6" s="256">
        <v>18885</v>
      </c>
      <c r="JD6" s="256">
        <v>34990</v>
      </c>
      <c r="JE6" s="256">
        <v>324539</v>
      </c>
      <c r="JF6" s="256">
        <v>682</v>
      </c>
      <c r="JG6" s="256">
        <v>9780</v>
      </c>
      <c r="JH6" s="256">
        <v>20422</v>
      </c>
      <c r="JI6" s="256">
        <v>3906</v>
      </c>
      <c r="JJ6" s="256">
        <v>37026</v>
      </c>
      <c r="JK6" s="256">
        <v>530</v>
      </c>
      <c r="JL6" s="256">
        <v>15434</v>
      </c>
      <c r="JM6" s="256">
        <v>4896</v>
      </c>
      <c r="JN6" s="256">
        <v>4653</v>
      </c>
      <c r="JO6" s="256">
        <v>11905</v>
      </c>
      <c r="JP6" s="256">
        <v>45200</v>
      </c>
      <c r="JQ6" s="256">
        <v>10321</v>
      </c>
      <c r="JR6" s="256">
        <v>11339</v>
      </c>
      <c r="JS6" s="256">
        <v>24939</v>
      </c>
      <c r="JT6" s="256">
        <v>20401</v>
      </c>
      <c r="JU6" s="256">
        <v>8130</v>
      </c>
      <c r="JV6" s="256">
        <v>7104</v>
      </c>
      <c r="JW6" s="256">
        <v>14598</v>
      </c>
      <c r="JX6" s="256">
        <v>5874</v>
      </c>
      <c r="JY6" s="256">
        <v>9132</v>
      </c>
      <c r="JZ6" s="256">
        <v>11963</v>
      </c>
      <c r="KA6" s="256">
        <v>19250</v>
      </c>
      <c r="KB6" s="256">
        <v>11545</v>
      </c>
      <c r="KC6" s="256">
        <v>27878</v>
      </c>
      <c r="KD6" s="256">
        <v>39777</v>
      </c>
      <c r="KE6" s="256">
        <v>25643</v>
      </c>
      <c r="KF6" s="256">
        <v>2455</v>
      </c>
      <c r="KG6" s="256">
        <v>6374</v>
      </c>
      <c r="KH6" s="256">
        <v>15661</v>
      </c>
      <c r="KI6" s="256">
        <v>10441</v>
      </c>
      <c r="KJ6" s="256">
        <v>18557</v>
      </c>
      <c r="KK6" s="256">
        <v>107303</v>
      </c>
      <c r="KL6" s="256">
        <v>8085</v>
      </c>
      <c r="KM6" s="256">
        <v>13142</v>
      </c>
      <c r="KN6" s="256">
        <v>14210</v>
      </c>
      <c r="KO6" s="256">
        <v>13446</v>
      </c>
      <c r="KP6" s="256">
        <v>18490</v>
      </c>
      <c r="KQ6" s="256">
        <v>5615</v>
      </c>
      <c r="KR6" s="256">
        <v>12791</v>
      </c>
      <c r="KS6" s="256">
        <v>6223</v>
      </c>
      <c r="KT6" s="256">
        <v>180374</v>
      </c>
      <c r="KU6" s="256">
        <v>21514</v>
      </c>
      <c r="KV6" s="256">
        <v>5466</v>
      </c>
      <c r="KW6" s="256">
        <v>7901</v>
      </c>
      <c r="KX6" s="256">
        <v>14338</v>
      </c>
      <c r="KY6" s="256">
        <v>12626</v>
      </c>
      <c r="KZ6" s="256">
        <v>27540</v>
      </c>
      <c r="LA6" s="256">
        <v>9406</v>
      </c>
      <c r="LB6" s="256">
        <v>19887</v>
      </c>
      <c r="LC6" s="256">
        <v>30915</v>
      </c>
      <c r="LD6" s="256">
        <v>47689</v>
      </c>
      <c r="LE6" s="256">
        <v>18750</v>
      </c>
      <c r="LF6" s="256">
        <v>22845</v>
      </c>
      <c r="LG6" s="256">
        <v>34189</v>
      </c>
      <c r="LH6" s="256">
        <v>628</v>
      </c>
      <c r="LI6" s="256">
        <v>22394</v>
      </c>
      <c r="LJ6" s="256">
        <v>5598</v>
      </c>
      <c r="LK6" s="256">
        <v>11204</v>
      </c>
      <c r="LL6" s="256">
        <v>10063</v>
      </c>
      <c r="LM6" s="256">
        <v>11179</v>
      </c>
      <c r="LN6" s="256">
        <v>20173</v>
      </c>
      <c r="LO6" s="256">
        <v>7477</v>
      </c>
      <c r="LP6" s="256">
        <v>21607</v>
      </c>
      <c r="LQ6" s="256">
        <v>11848</v>
      </c>
      <c r="LR6" s="256">
        <v>22288</v>
      </c>
      <c r="LS6" s="256">
        <v>11536</v>
      </c>
      <c r="LT6" s="256">
        <v>7476</v>
      </c>
      <c r="LU6" s="256">
        <v>22412</v>
      </c>
      <c r="LV6" s="256">
        <v>9038</v>
      </c>
      <c r="LW6" s="256">
        <v>20302</v>
      </c>
      <c r="LX6" s="256">
        <v>8195</v>
      </c>
      <c r="LY6" s="256">
        <v>26243</v>
      </c>
      <c r="LZ6" s="256">
        <v>8658</v>
      </c>
      <c r="MA6" s="256">
        <v>6686</v>
      </c>
      <c r="MB6" s="256">
        <v>11194</v>
      </c>
      <c r="MC6" s="256">
        <v>45859</v>
      </c>
      <c r="MD6" s="256">
        <v>11284</v>
      </c>
      <c r="ME6" s="256">
        <v>6599</v>
      </c>
      <c r="MF6" s="256">
        <v>9532</v>
      </c>
      <c r="MG6" s="256">
        <v>17618</v>
      </c>
      <c r="MH6" s="256">
        <v>10527</v>
      </c>
      <c r="MI6" s="256">
        <v>9967</v>
      </c>
      <c r="MJ6" s="256">
        <v>12767</v>
      </c>
      <c r="MK6" s="256">
        <v>9574</v>
      </c>
      <c r="ML6" s="256">
        <v>21783</v>
      </c>
      <c r="MM6" s="256">
        <v>10140</v>
      </c>
      <c r="MN6" s="256">
        <v>7139</v>
      </c>
      <c r="MO6" s="256">
        <v>5048</v>
      </c>
      <c r="MP6" s="256">
        <v>69962</v>
      </c>
      <c r="MQ6" s="256">
        <v>11614</v>
      </c>
      <c r="MR6" s="256">
        <v>8456</v>
      </c>
      <c r="MS6" s="256">
        <v>9393</v>
      </c>
      <c r="MT6" s="256">
        <v>28883</v>
      </c>
      <c r="MU6" s="256">
        <v>19614</v>
      </c>
      <c r="MV6" s="256">
        <v>55953</v>
      </c>
      <c r="MW6" s="256">
        <v>3431</v>
      </c>
      <c r="MX6" s="256">
        <v>17349</v>
      </c>
      <c r="MY6" s="256">
        <v>9405</v>
      </c>
      <c r="MZ6" s="256">
        <v>22123</v>
      </c>
      <c r="NA6" s="256">
        <v>8485</v>
      </c>
      <c r="NB6" s="256">
        <v>20059</v>
      </c>
      <c r="NC6" s="256">
        <v>59307</v>
      </c>
      <c r="ND6" s="256">
        <v>60000</v>
      </c>
    </row>
    <row r="7" spans="1:368" s="255" customFormat="1" ht="14.4" x14ac:dyDescent="0.3">
      <c r="A7" s="254"/>
      <c r="B7" s="257"/>
      <c r="E7" s="255" t="s">
        <v>1609</v>
      </c>
      <c r="F7" s="255" t="s">
        <v>407</v>
      </c>
      <c r="G7" s="255" t="s">
        <v>1610</v>
      </c>
      <c r="K7" s="255">
        <v>6</v>
      </c>
      <c r="M7" s="256">
        <v>11179</v>
      </c>
      <c r="N7" s="256">
        <v>13217</v>
      </c>
      <c r="O7" s="256">
        <v>11976</v>
      </c>
      <c r="P7" s="256">
        <v>12129</v>
      </c>
      <c r="Q7" s="256">
        <v>8353</v>
      </c>
      <c r="R7" s="256">
        <v>10517</v>
      </c>
      <c r="S7" s="256">
        <v>51339</v>
      </c>
      <c r="T7" s="256">
        <v>33549</v>
      </c>
      <c r="U7" s="256">
        <v>85977</v>
      </c>
      <c r="V7" s="256">
        <v>48178</v>
      </c>
      <c r="W7" s="256">
        <v>4371</v>
      </c>
      <c r="X7" s="256">
        <v>22399</v>
      </c>
      <c r="Y7" s="256">
        <v>1737</v>
      </c>
      <c r="Z7" s="256">
        <v>67722</v>
      </c>
      <c r="AA7" s="256">
        <v>42310</v>
      </c>
      <c r="AB7" s="256">
        <v>447351</v>
      </c>
      <c r="AC7" s="256">
        <v>73244</v>
      </c>
      <c r="AD7" s="256">
        <v>6042</v>
      </c>
      <c r="AE7" s="256">
        <v>76737</v>
      </c>
      <c r="AF7" s="256">
        <v>32154</v>
      </c>
      <c r="AG7" s="256">
        <v>6899</v>
      </c>
      <c r="AH7" s="256">
        <v>2875</v>
      </c>
      <c r="AI7" s="256">
        <v>11679</v>
      </c>
      <c r="AJ7" s="256">
        <v>19416</v>
      </c>
      <c r="AK7" s="256">
        <v>22799</v>
      </c>
      <c r="AL7" s="256">
        <v>7488</v>
      </c>
      <c r="AM7" s="256">
        <v>16635</v>
      </c>
      <c r="AN7" s="256">
        <v>4036</v>
      </c>
      <c r="AO7" s="256">
        <v>5965</v>
      </c>
      <c r="AP7" s="256">
        <v>15802</v>
      </c>
      <c r="AQ7" s="256">
        <v>7970</v>
      </c>
      <c r="AR7" s="256">
        <v>5760</v>
      </c>
      <c r="AS7" s="256">
        <v>15344</v>
      </c>
      <c r="AT7" s="256">
        <v>30884</v>
      </c>
      <c r="AU7" s="256">
        <v>19525</v>
      </c>
      <c r="AV7" s="256">
        <v>12714</v>
      </c>
      <c r="AW7" s="256">
        <v>12698</v>
      </c>
      <c r="AX7" s="256">
        <v>11137</v>
      </c>
      <c r="AY7" s="256">
        <v>19403</v>
      </c>
      <c r="AZ7" s="256">
        <v>19577</v>
      </c>
      <c r="BA7" s="256">
        <v>8746</v>
      </c>
      <c r="BB7" s="256">
        <v>5075</v>
      </c>
      <c r="BC7" s="256">
        <v>10034</v>
      </c>
      <c r="BD7" s="256">
        <v>14499</v>
      </c>
      <c r="BE7" s="256">
        <v>4248</v>
      </c>
      <c r="BF7" s="256">
        <v>11374</v>
      </c>
      <c r="BG7" s="256">
        <v>9954</v>
      </c>
      <c r="BH7" s="256">
        <v>9821</v>
      </c>
      <c r="BI7" s="256">
        <v>12568</v>
      </c>
      <c r="BJ7" s="256">
        <v>13401</v>
      </c>
      <c r="BK7" s="256">
        <v>84567</v>
      </c>
      <c r="BL7" s="256">
        <v>8029</v>
      </c>
      <c r="BM7" s="256">
        <v>16198</v>
      </c>
      <c r="BN7" s="256">
        <v>9348</v>
      </c>
      <c r="BO7" s="256">
        <v>14493</v>
      </c>
      <c r="BP7" s="256">
        <v>6392</v>
      </c>
      <c r="BQ7" s="256">
        <v>8536</v>
      </c>
      <c r="BR7" s="256">
        <v>10829</v>
      </c>
      <c r="BS7" s="256">
        <v>31270</v>
      </c>
      <c r="BT7" s="256">
        <v>16056</v>
      </c>
      <c r="BU7" s="256">
        <v>15555</v>
      </c>
      <c r="BV7" s="256">
        <v>9007</v>
      </c>
      <c r="BW7" s="256">
        <v>11193</v>
      </c>
      <c r="BX7" s="256">
        <v>12530</v>
      </c>
      <c r="BY7" s="256">
        <v>11889</v>
      </c>
      <c r="BZ7" s="256">
        <v>8164</v>
      </c>
      <c r="CA7" s="256">
        <v>50904</v>
      </c>
      <c r="CB7" s="256">
        <v>12223</v>
      </c>
      <c r="CC7" s="256">
        <v>13955</v>
      </c>
      <c r="CD7" s="256">
        <v>45988</v>
      </c>
      <c r="CE7" s="256">
        <v>15015</v>
      </c>
      <c r="CF7" s="256">
        <v>10939</v>
      </c>
      <c r="CG7" s="256">
        <v>5293</v>
      </c>
      <c r="CH7" s="256">
        <v>26129</v>
      </c>
      <c r="CI7" s="256">
        <v>11289</v>
      </c>
      <c r="CJ7" s="256">
        <v>55279</v>
      </c>
      <c r="CK7" s="256">
        <v>8373</v>
      </c>
      <c r="CL7" s="256">
        <v>11761</v>
      </c>
      <c r="CM7" s="256">
        <v>17390</v>
      </c>
      <c r="CN7" s="256">
        <v>8126</v>
      </c>
      <c r="CO7" s="256">
        <v>10743</v>
      </c>
      <c r="CP7" s="256">
        <v>14595</v>
      </c>
      <c r="CQ7" s="256">
        <v>15120</v>
      </c>
      <c r="CR7" s="256">
        <v>49152</v>
      </c>
      <c r="CS7" s="256">
        <v>4008</v>
      </c>
      <c r="CT7" s="256">
        <v>8402</v>
      </c>
      <c r="CU7" s="256">
        <v>11326</v>
      </c>
      <c r="CV7" s="256">
        <v>112965</v>
      </c>
      <c r="CW7" s="256">
        <v>9356</v>
      </c>
      <c r="CX7" s="256">
        <v>49308</v>
      </c>
      <c r="CY7" s="256">
        <v>8824</v>
      </c>
      <c r="CZ7" s="256">
        <v>75222</v>
      </c>
      <c r="DA7" s="256">
        <v>14586</v>
      </c>
      <c r="DB7" s="256">
        <v>11156</v>
      </c>
      <c r="DC7" s="256">
        <v>19093</v>
      </c>
      <c r="DD7" s="256">
        <v>23347</v>
      </c>
      <c r="DE7" s="256">
        <v>9639</v>
      </c>
      <c r="DF7" s="256">
        <v>17746</v>
      </c>
      <c r="DG7" s="256">
        <v>12635</v>
      </c>
      <c r="DH7" s="256">
        <v>7450</v>
      </c>
      <c r="DI7" s="256">
        <v>11301</v>
      </c>
      <c r="DJ7" s="256">
        <v>21855</v>
      </c>
      <c r="DK7" s="256">
        <v>18553</v>
      </c>
      <c r="DL7" s="256">
        <v>10363</v>
      </c>
      <c r="DM7" s="256">
        <v>26679</v>
      </c>
      <c r="DN7" s="256">
        <v>17210</v>
      </c>
      <c r="DO7" s="256">
        <v>33439</v>
      </c>
      <c r="DP7" s="256">
        <v>5465</v>
      </c>
      <c r="DQ7" s="256">
        <v>262492</v>
      </c>
      <c r="DR7" s="256">
        <v>116445</v>
      </c>
      <c r="DS7" s="256">
        <v>6867</v>
      </c>
      <c r="DT7" s="256">
        <v>10497</v>
      </c>
      <c r="DU7" s="256">
        <v>5957</v>
      </c>
      <c r="DV7" s="256">
        <v>76436</v>
      </c>
      <c r="DW7" s="256">
        <v>64195</v>
      </c>
      <c r="DX7" s="256">
        <v>13399</v>
      </c>
      <c r="DY7" s="256">
        <v>24810</v>
      </c>
      <c r="DZ7" s="256">
        <v>19942</v>
      </c>
      <c r="EA7" s="256">
        <v>7451</v>
      </c>
      <c r="EB7" s="256">
        <v>7798</v>
      </c>
      <c r="EC7" s="256">
        <v>5298</v>
      </c>
      <c r="ED7" s="256">
        <v>17578</v>
      </c>
      <c r="EE7" s="256">
        <v>12628</v>
      </c>
      <c r="EF7" s="256">
        <v>7924</v>
      </c>
      <c r="EG7" s="256">
        <v>23528</v>
      </c>
      <c r="EH7" s="256">
        <v>23913</v>
      </c>
      <c r="EI7" s="256">
        <v>45976</v>
      </c>
      <c r="EJ7" s="256">
        <v>6861</v>
      </c>
      <c r="EK7" s="256">
        <v>10775</v>
      </c>
      <c r="EL7" s="256">
        <v>28213</v>
      </c>
      <c r="EM7" s="256">
        <v>14889</v>
      </c>
      <c r="EN7" s="256">
        <v>17967</v>
      </c>
      <c r="EO7" s="256">
        <v>40788</v>
      </c>
      <c r="EP7" s="256">
        <v>12314</v>
      </c>
      <c r="EQ7" s="256">
        <v>38701</v>
      </c>
      <c r="ER7" s="256">
        <v>72991</v>
      </c>
      <c r="ES7" s="256">
        <v>7206</v>
      </c>
      <c r="ET7" s="256">
        <v>19193</v>
      </c>
      <c r="EU7" s="256">
        <v>9849</v>
      </c>
      <c r="EV7" s="256">
        <v>6724</v>
      </c>
      <c r="EW7" s="256">
        <v>42676</v>
      </c>
      <c r="EX7" s="256">
        <v>37821</v>
      </c>
      <c r="EY7" s="256">
        <v>15211</v>
      </c>
      <c r="EZ7" s="256">
        <v>22743</v>
      </c>
      <c r="FA7" s="256">
        <v>20882</v>
      </c>
      <c r="FB7" s="256">
        <v>25236</v>
      </c>
      <c r="FC7" s="256">
        <v>33086</v>
      </c>
      <c r="FD7" s="256">
        <v>17839</v>
      </c>
      <c r="FE7" s="256">
        <v>20417</v>
      </c>
      <c r="FF7" s="256">
        <v>18924</v>
      </c>
      <c r="FG7" s="256">
        <v>13587</v>
      </c>
      <c r="FH7" s="256">
        <v>14407</v>
      </c>
      <c r="FI7" s="256">
        <v>11726</v>
      </c>
      <c r="FJ7" s="256">
        <v>22517</v>
      </c>
      <c r="FK7" s="256">
        <v>5403</v>
      </c>
      <c r="FL7" s="256">
        <v>26869</v>
      </c>
      <c r="FM7" s="256">
        <v>23771</v>
      </c>
      <c r="FN7" s="256">
        <v>9473</v>
      </c>
      <c r="FO7" s="256">
        <v>12636</v>
      </c>
      <c r="FP7" s="256">
        <v>23933</v>
      </c>
      <c r="FQ7" s="256">
        <v>9531</v>
      </c>
      <c r="FR7" s="256">
        <v>6403</v>
      </c>
      <c r="FS7" s="256">
        <v>18142</v>
      </c>
      <c r="FT7" s="256">
        <v>4896</v>
      </c>
      <c r="FU7" s="256">
        <v>11650</v>
      </c>
      <c r="FV7" s="256">
        <v>24245</v>
      </c>
      <c r="FW7" s="256">
        <v>5400</v>
      </c>
      <c r="FX7" s="256">
        <v>62599</v>
      </c>
      <c r="FY7" s="256">
        <v>59832</v>
      </c>
      <c r="FZ7" s="256">
        <v>12119</v>
      </c>
      <c r="GA7" s="256">
        <v>36944</v>
      </c>
      <c r="GB7" s="256">
        <v>33385</v>
      </c>
      <c r="GC7" s="256">
        <v>15992</v>
      </c>
      <c r="GD7" s="256">
        <v>13043</v>
      </c>
      <c r="GE7" s="256">
        <v>19872</v>
      </c>
      <c r="GF7" s="256">
        <v>10330</v>
      </c>
      <c r="GG7" s="256">
        <v>15096</v>
      </c>
      <c r="GH7" s="256">
        <v>10409</v>
      </c>
      <c r="GI7" s="256">
        <v>5741</v>
      </c>
      <c r="GJ7" s="256">
        <v>4687</v>
      </c>
      <c r="GK7" s="256">
        <v>9789</v>
      </c>
      <c r="GL7" s="256">
        <v>10115</v>
      </c>
      <c r="GM7" s="256">
        <v>10856</v>
      </c>
      <c r="GN7" s="256">
        <v>15186</v>
      </c>
      <c r="GO7" s="256">
        <v>61833</v>
      </c>
      <c r="GP7" s="256">
        <v>19100</v>
      </c>
      <c r="GQ7" s="256">
        <v>8629</v>
      </c>
      <c r="GR7" s="256">
        <v>34544</v>
      </c>
      <c r="GS7" s="256">
        <v>15851</v>
      </c>
      <c r="GT7" s="256">
        <v>23683</v>
      </c>
      <c r="GU7" s="256">
        <v>7904</v>
      </c>
      <c r="GV7" s="256">
        <v>14378</v>
      </c>
      <c r="GW7" s="256">
        <v>28167</v>
      </c>
      <c r="GX7" s="256">
        <v>4627</v>
      </c>
      <c r="GY7" s="256">
        <v>16501</v>
      </c>
      <c r="GZ7" s="256">
        <v>17205</v>
      </c>
      <c r="HA7" s="256">
        <v>15917</v>
      </c>
      <c r="HB7" s="256">
        <v>5740</v>
      </c>
      <c r="HC7" s="256">
        <v>3591</v>
      </c>
      <c r="HD7" s="256">
        <v>8867</v>
      </c>
      <c r="HE7" s="256">
        <v>7457</v>
      </c>
      <c r="HF7" s="256">
        <v>28844</v>
      </c>
      <c r="HG7" s="256">
        <v>11498</v>
      </c>
      <c r="HH7" s="256">
        <v>17321</v>
      </c>
      <c r="HI7" s="256">
        <v>81717</v>
      </c>
      <c r="HJ7" s="256">
        <v>39225</v>
      </c>
      <c r="HK7" s="256">
        <v>20630</v>
      </c>
      <c r="HL7" s="256">
        <v>4460</v>
      </c>
      <c r="HM7" s="256">
        <v>14817</v>
      </c>
      <c r="HN7" s="256">
        <v>20134</v>
      </c>
      <c r="HO7" s="256">
        <v>19930</v>
      </c>
      <c r="HP7" s="256">
        <v>10086</v>
      </c>
      <c r="HQ7" s="256">
        <v>10957</v>
      </c>
      <c r="HR7" s="256">
        <v>10862</v>
      </c>
      <c r="HS7" s="256">
        <v>7965</v>
      </c>
      <c r="HT7" s="256">
        <v>11619</v>
      </c>
      <c r="HU7" s="256">
        <v>18540</v>
      </c>
      <c r="HV7" s="256">
        <v>9318</v>
      </c>
      <c r="HW7" s="256">
        <v>14614</v>
      </c>
      <c r="HX7" s="256">
        <v>7724</v>
      </c>
      <c r="HY7" s="256">
        <v>7519</v>
      </c>
      <c r="HZ7" s="256">
        <v>12910</v>
      </c>
      <c r="IA7" s="256">
        <v>25158</v>
      </c>
      <c r="IB7" s="256">
        <v>11253</v>
      </c>
      <c r="IC7" s="256">
        <v>4108</v>
      </c>
      <c r="ID7" s="256">
        <v>4852</v>
      </c>
      <c r="IE7" s="256">
        <v>13064</v>
      </c>
      <c r="IF7" s="256">
        <v>40325</v>
      </c>
      <c r="IG7" s="256">
        <v>17401</v>
      </c>
      <c r="IH7" s="256">
        <v>6296</v>
      </c>
      <c r="II7" s="256">
        <v>4372</v>
      </c>
      <c r="IJ7" s="256">
        <v>19947</v>
      </c>
      <c r="IK7" s="256">
        <v>14397</v>
      </c>
      <c r="IL7" s="256">
        <v>18399</v>
      </c>
      <c r="IM7" s="256">
        <v>5774</v>
      </c>
      <c r="IN7" s="256">
        <v>21536</v>
      </c>
      <c r="IO7" s="256">
        <v>36701</v>
      </c>
      <c r="IP7" s="256">
        <v>9727</v>
      </c>
      <c r="IQ7" s="256">
        <v>15902</v>
      </c>
      <c r="IR7" s="256">
        <v>9298</v>
      </c>
      <c r="IS7" s="256">
        <v>14985</v>
      </c>
      <c r="IT7" s="256">
        <v>2134</v>
      </c>
      <c r="IU7" s="256">
        <v>5484</v>
      </c>
      <c r="IV7" s="256">
        <v>21212</v>
      </c>
      <c r="IW7" s="256">
        <v>8225</v>
      </c>
      <c r="IX7" s="256">
        <v>20960</v>
      </c>
      <c r="IY7" s="256">
        <v>14760</v>
      </c>
      <c r="IZ7" s="256">
        <v>26905</v>
      </c>
      <c r="JA7" s="256">
        <v>9477</v>
      </c>
      <c r="JB7" s="256">
        <v>27649</v>
      </c>
      <c r="JC7" s="256">
        <v>18517</v>
      </c>
      <c r="JD7" s="256">
        <v>35363</v>
      </c>
      <c r="JE7" s="256">
        <v>315565</v>
      </c>
      <c r="JF7" s="256">
        <v>688</v>
      </c>
      <c r="JG7" s="256">
        <v>9822</v>
      </c>
      <c r="JH7" s="256">
        <v>20334</v>
      </c>
      <c r="JI7" s="256">
        <v>4002</v>
      </c>
      <c r="JJ7" s="256">
        <v>37292</v>
      </c>
      <c r="JK7" s="256">
        <v>587</v>
      </c>
      <c r="JL7" s="256">
        <v>16783</v>
      </c>
      <c r="JM7" s="256">
        <v>5185</v>
      </c>
      <c r="JN7" s="256">
        <v>4863</v>
      </c>
      <c r="JO7" s="256">
        <v>12183</v>
      </c>
      <c r="JP7" s="256">
        <v>46625</v>
      </c>
      <c r="JQ7" s="256">
        <v>10898</v>
      </c>
      <c r="JR7" s="256">
        <v>14200</v>
      </c>
      <c r="JS7" s="256">
        <v>25768</v>
      </c>
      <c r="JT7" s="256">
        <v>20699</v>
      </c>
      <c r="JU7" s="256">
        <v>8113</v>
      </c>
      <c r="JV7" s="256">
        <v>7192</v>
      </c>
      <c r="JW7" s="256">
        <v>15292</v>
      </c>
      <c r="JX7" s="256">
        <v>5933</v>
      </c>
      <c r="JY7" s="256">
        <v>9199</v>
      </c>
      <c r="JZ7" s="256">
        <v>10433</v>
      </c>
      <c r="KA7" s="256">
        <v>20172</v>
      </c>
      <c r="KB7" s="256">
        <v>11800</v>
      </c>
      <c r="KC7" s="256">
        <v>28549</v>
      </c>
      <c r="KD7" s="256">
        <v>42119</v>
      </c>
      <c r="KE7" s="256">
        <v>26966</v>
      </c>
      <c r="KF7" s="256">
        <v>2293</v>
      </c>
      <c r="KG7" s="256">
        <v>6651</v>
      </c>
      <c r="KH7" s="256">
        <v>16048</v>
      </c>
      <c r="KI7" s="256">
        <v>10983</v>
      </c>
      <c r="KJ7" s="256">
        <v>18080</v>
      </c>
      <c r="KK7" s="256">
        <v>100418</v>
      </c>
      <c r="KL7" s="256">
        <v>8604</v>
      </c>
      <c r="KM7" s="256">
        <v>13819</v>
      </c>
      <c r="KN7" s="256">
        <v>14500</v>
      </c>
      <c r="KO7" s="256">
        <v>14044</v>
      </c>
      <c r="KP7" s="256">
        <v>19018</v>
      </c>
      <c r="KQ7" s="256">
        <v>5713</v>
      </c>
      <c r="KR7" s="256">
        <v>12836</v>
      </c>
      <c r="KS7" s="256">
        <v>6663</v>
      </c>
      <c r="KT7" s="256">
        <v>156678</v>
      </c>
      <c r="KU7" s="256">
        <v>21821</v>
      </c>
      <c r="KV7" s="256">
        <v>5806</v>
      </c>
      <c r="KW7" s="256">
        <v>8309</v>
      </c>
      <c r="KX7" s="256">
        <v>14805</v>
      </c>
      <c r="KY7" s="256">
        <v>12843</v>
      </c>
      <c r="KZ7" s="256">
        <v>28353</v>
      </c>
      <c r="LA7" s="256">
        <v>10967</v>
      </c>
      <c r="LB7" s="256">
        <v>19913</v>
      </c>
      <c r="LC7" s="256">
        <v>31226</v>
      </c>
      <c r="LD7" s="256">
        <v>47412</v>
      </c>
      <c r="LE7" s="256">
        <v>19137</v>
      </c>
      <c r="LF7" s="256">
        <v>23824</v>
      </c>
      <c r="LG7" s="256">
        <v>35470</v>
      </c>
      <c r="LH7" s="256">
        <v>579</v>
      </c>
      <c r="LI7" s="256">
        <v>22907</v>
      </c>
      <c r="LJ7" s="256">
        <v>5819</v>
      </c>
      <c r="LK7" s="256">
        <v>11465</v>
      </c>
      <c r="LL7" s="256">
        <v>10641</v>
      </c>
      <c r="LM7" s="256">
        <v>11519</v>
      </c>
      <c r="LN7" s="256">
        <v>21228</v>
      </c>
      <c r="LO7" s="256">
        <v>7765</v>
      </c>
      <c r="LP7" s="256">
        <v>21948</v>
      </c>
      <c r="LQ7" s="256">
        <v>12332</v>
      </c>
      <c r="LR7" s="256">
        <v>17721</v>
      </c>
      <c r="LS7" s="256">
        <v>12222</v>
      </c>
      <c r="LT7" s="256">
        <v>7319</v>
      </c>
      <c r="LU7" s="256">
        <v>22948</v>
      </c>
      <c r="LV7" s="256">
        <v>9197</v>
      </c>
      <c r="LW7" s="256">
        <v>20875</v>
      </c>
      <c r="LX7" s="256">
        <v>8222</v>
      </c>
      <c r="LY7" s="256">
        <v>27309</v>
      </c>
      <c r="LZ7" s="256">
        <v>8529</v>
      </c>
      <c r="MA7" s="256">
        <v>6723</v>
      </c>
      <c r="MB7" s="256">
        <v>11982</v>
      </c>
      <c r="MC7" s="256">
        <v>45063</v>
      </c>
      <c r="MD7" s="256">
        <v>11711</v>
      </c>
      <c r="ME7" s="256">
        <v>6890</v>
      </c>
      <c r="MF7" s="256">
        <v>9860</v>
      </c>
      <c r="MG7" s="256">
        <v>18023</v>
      </c>
      <c r="MH7" s="256">
        <v>10691</v>
      </c>
      <c r="MI7" s="256">
        <v>10107</v>
      </c>
      <c r="MJ7" s="256">
        <v>13139</v>
      </c>
      <c r="MK7" s="256">
        <v>9866</v>
      </c>
      <c r="ML7" s="256">
        <v>22106</v>
      </c>
      <c r="MM7" s="256">
        <v>10370</v>
      </c>
      <c r="MN7" s="256">
        <v>6971</v>
      </c>
      <c r="MO7" s="256">
        <v>5188</v>
      </c>
      <c r="MP7" s="256">
        <v>68947</v>
      </c>
      <c r="MQ7" s="256">
        <v>11623</v>
      </c>
      <c r="MR7" s="256">
        <v>9708</v>
      </c>
      <c r="MS7" s="256">
        <v>8678</v>
      </c>
      <c r="MT7" s="256">
        <v>29245</v>
      </c>
      <c r="MU7" s="256">
        <v>19970</v>
      </c>
      <c r="MV7" s="256">
        <v>56458</v>
      </c>
      <c r="MW7" s="256">
        <v>3532</v>
      </c>
      <c r="MX7" s="256">
        <v>18031</v>
      </c>
      <c r="MY7" s="256">
        <v>9472</v>
      </c>
      <c r="MZ7" s="256">
        <v>22267</v>
      </c>
      <c r="NA7" s="256">
        <v>8942</v>
      </c>
      <c r="NB7" s="256">
        <v>20537</v>
      </c>
      <c r="NC7" s="256">
        <v>58492</v>
      </c>
      <c r="ND7" s="256">
        <v>60000</v>
      </c>
    </row>
    <row r="8" spans="1:368" s="255" customFormat="1" ht="14.4" x14ac:dyDescent="0.3">
      <c r="A8" s="254"/>
      <c r="B8" s="257"/>
      <c r="E8" s="255" t="s">
        <v>641</v>
      </c>
      <c r="F8" s="255" t="s">
        <v>407</v>
      </c>
      <c r="G8" s="255" t="s">
        <v>642</v>
      </c>
      <c r="K8" s="255">
        <f>K7+1</f>
        <v>7</v>
      </c>
      <c r="M8" s="256">
        <v>25445</v>
      </c>
      <c r="N8" s="256">
        <v>31859</v>
      </c>
      <c r="O8" s="256">
        <v>27121</v>
      </c>
      <c r="P8" s="256">
        <v>27843</v>
      </c>
      <c r="Q8" s="256">
        <v>20165</v>
      </c>
      <c r="R8" s="256">
        <v>25590</v>
      </c>
      <c r="S8" s="256">
        <v>109436</v>
      </c>
      <c r="T8" s="256">
        <v>73107</v>
      </c>
      <c r="U8" s="256">
        <v>211893</v>
      </c>
      <c r="V8" s="256">
        <v>111897</v>
      </c>
      <c r="W8" s="256">
        <v>10203</v>
      </c>
      <c r="X8" s="256">
        <v>55967</v>
      </c>
      <c r="Y8" s="256">
        <v>3716</v>
      </c>
      <c r="Z8" s="256">
        <v>157276</v>
      </c>
      <c r="AA8" s="256">
        <v>91675</v>
      </c>
      <c r="AB8" s="256">
        <v>872757</v>
      </c>
      <c r="AC8" s="256">
        <v>163818</v>
      </c>
      <c r="AD8" s="256">
        <v>11642</v>
      </c>
      <c r="AE8" s="256">
        <v>161348</v>
      </c>
      <c r="AF8" s="256">
        <v>68599</v>
      </c>
      <c r="AG8" s="256">
        <v>16721</v>
      </c>
      <c r="AH8" s="256">
        <v>6859</v>
      </c>
      <c r="AI8" s="256">
        <v>24868</v>
      </c>
      <c r="AJ8" s="256">
        <v>48714</v>
      </c>
      <c r="AK8" s="256">
        <v>59082</v>
      </c>
      <c r="AL8" s="256">
        <v>15865</v>
      </c>
      <c r="AM8" s="256">
        <v>35938</v>
      </c>
      <c r="AN8" s="256">
        <v>10022</v>
      </c>
      <c r="AO8" s="256">
        <v>13482</v>
      </c>
      <c r="AP8" s="256">
        <v>34992</v>
      </c>
      <c r="AQ8" s="256">
        <v>18635</v>
      </c>
      <c r="AR8" s="256">
        <v>13085</v>
      </c>
      <c r="AS8" s="256">
        <v>29839</v>
      </c>
      <c r="AT8" s="256">
        <v>67496</v>
      </c>
      <c r="AU8" s="256">
        <v>43747</v>
      </c>
      <c r="AV8" s="256">
        <v>31240</v>
      </c>
      <c r="AW8" s="256">
        <v>29988</v>
      </c>
      <c r="AX8" s="256">
        <v>25890</v>
      </c>
      <c r="AY8" s="256">
        <v>41626</v>
      </c>
      <c r="AZ8" s="256">
        <v>43137</v>
      </c>
      <c r="BA8" s="256">
        <v>20390</v>
      </c>
      <c r="BB8" s="256">
        <v>11540</v>
      </c>
      <c r="BC8" s="256">
        <v>23571</v>
      </c>
      <c r="BD8" s="256">
        <v>34872</v>
      </c>
      <c r="BE8" s="256">
        <v>10785</v>
      </c>
      <c r="BF8" s="256">
        <v>25559</v>
      </c>
      <c r="BG8" s="256">
        <v>23312</v>
      </c>
      <c r="BH8" s="256">
        <v>22739</v>
      </c>
      <c r="BI8" s="256">
        <v>29365</v>
      </c>
      <c r="BJ8" s="256">
        <v>30801</v>
      </c>
      <c r="BK8" s="256">
        <v>184069</v>
      </c>
      <c r="BL8" s="256">
        <v>17271</v>
      </c>
      <c r="BM8" s="256">
        <v>36055</v>
      </c>
      <c r="BN8" s="256">
        <v>20726</v>
      </c>
      <c r="BO8" s="256">
        <v>27821</v>
      </c>
      <c r="BP8" s="256">
        <v>15191</v>
      </c>
      <c r="BQ8" s="256">
        <v>21866</v>
      </c>
      <c r="BR8" s="256">
        <v>26749</v>
      </c>
      <c r="BS8" s="256">
        <v>67122</v>
      </c>
      <c r="BT8" s="256">
        <v>35986</v>
      </c>
      <c r="BU8" s="256">
        <v>35297</v>
      </c>
      <c r="BV8" s="256">
        <v>21138</v>
      </c>
      <c r="BW8" s="256">
        <v>25130</v>
      </c>
      <c r="BX8" s="256">
        <v>28955</v>
      </c>
      <c r="BY8" s="256">
        <v>28587</v>
      </c>
      <c r="BZ8" s="256">
        <v>18922</v>
      </c>
      <c r="CA8" s="256">
        <v>103595</v>
      </c>
      <c r="CB8" s="256">
        <v>24678</v>
      </c>
      <c r="CC8" s="256">
        <v>32471</v>
      </c>
      <c r="CD8" s="256">
        <v>100719</v>
      </c>
      <c r="CE8" s="256">
        <v>30780</v>
      </c>
      <c r="CF8" s="256">
        <v>26461</v>
      </c>
      <c r="CG8" s="256">
        <v>11077</v>
      </c>
      <c r="CH8" s="256">
        <v>58001</v>
      </c>
      <c r="CI8" s="256">
        <v>26222</v>
      </c>
      <c r="CJ8" s="256">
        <v>119284</v>
      </c>
      <c r="CK8" s="256">
        <v>19719</v>
      </c>
      <c r="CL8" s="256">
        <v>27272</v>
      </c>
      <c r="CM8" s="256">
        <v>41555</v>
      </c>
      <c r="CN8" s="256">
        <v>18926</v>
      </c>
      <c r="CO8" s="256">
        <v>25126</v>
      </c>
      <c r="CP8" s="256">
        <v>31610</v>
      </c>
      <c r="CQ8" s="256">
        <v>36197</v>
      </c>
      <c r="CR8" s="256">
        <v>117165</v>
      </c>
      <c r="CS8" s="256">
        <v>9247</v>
      </c>
      <c r="CT8" s="256">
        <v>19313</v>
      </c>
      <c r="CU8" s="256">
        <v>25768</v>
      </c>
      <c r="CV8" s="256">
        <v>234394</v>
      </c>
      <c r="CW8" s="256">
        <v>23161</v>
      </c>
      <c r="CX8" s="256">
        <v>107048</v>
      </c>
      <c r="CY8" s="256">
        <v>18591</v>
      </c>
      <c r="CZ8" s="256">
        <v>159640</v>
      </c>
      <c r="DA8" s="256">
        <v>33178</v>
      </c>
      <c r="DB8" s="256">
        <v>27008</v>
      </c>
      <c r="DC8" s="256">
        <v>43878</v>
      </c>
      <c r="DD8" s="256">
        <v>51564</v>
      </c>
      <c r="DE8" s="256">
        <v>21544</v>
      </c>
      <c r="DF8" s="256">
        <v>39726</v>
      </c>
      <c r="DG8" s="256">
        <v>30723</v>
      </c>
      <c r="DH8" s="256">
        <v>16921</v>
      </c>
      <c r="DI8" s="256">
        <v>26431</v>
      </c>
      <c r="DJ8" s="256">
        <v>50049</v>
      </c>
      <c r="DK8" s="256">
        <v>38082</v>
      </c>
      <c r="DL8" s="256">
        <v>23904</v>
      </c>
      <c r="DM8" s="256">
        <v>58055</v>
      </c>
      <c r="DN8" s="256">
        <v>37022</v>
      </c>
      <c r="DO8" s="256">
        <v>73427</v>
      </c>
      <c r="DP8" s="256">
        <v>12436</v>
      </c>
      <c r="DQ8" s="256">
        <v>545838</v>
      </c>
      <c r="DR8" s="256">
        <v>232874</v>
      </c>
      <c r="DS8" s="256">
        <v>14171</v>
      </c>
      <c r="DT8" s="256">
        <v>24311</v>
      </c>
      <c r="DU8" s="256">
        <v>14370</v>
      </c>
      <c r="DV8" s="256">
        <v>162902</v>
      </c>
      <c r="DW8" s="256">
        <v>156002</v>
      </c>
      <c r="DX8" s="256">
        <v>30284</v>
      </c>
      <c r="DY8" s="256">
        <v>60948</v>
      </c>
      <c r="DZ8" s="256">
        <v>48414</v>
      </c>
      <c r="EA8" s="256">
        <v>18295</v>
      </c>
      <c r="EB8" s="256">
        <v>15722</v>
      </c>
      <c r="EC8" s="256">
        <v>12209</v>
      </c>
      <c r="ED8" s="256">
        <v>39182</v>
      </c>
      <c r="EE8" s="256">
        <v>27234</v>
      </c>
      <c r="EF8" s="256">
        <v>18589</v>
      </c>
      <c r="EG8" s="256">
        <v>50493</v>
      </c>
      <c r="EH8" s="256">
        <v>57587</v>
      </c>
      <c r="EI8" s="256">
        <v>87086</v>
      </c>
      <c r="EJ8" s="256">
        <v>16152</v>
      </c>
      <c r="EK8" s="256">
        <v>23968</v>
      </c>
      <c r="EL8" s="256">
        <v>56296</v>
      </c>
      <c r="EM8" s="256">
        <v>35916</v>
      </c>
      <c r="EN8" s="256">
        <v>40142</v>
      </c>
      <c r="EO8" s="256">
        <v>92423</v>
      </c>
      <c r="EP8" s="256">
        <v>31202</v>
      </c>
      <c r="EQ8" s="256">
        <v>81140</v>
      </c>
      <c r="ER8" s="256">
        <v>155111</v>
      </c>
      <c r="ES8" s="256">
        <v>16454</v>
      </c>
      <c r="ET8" s="256">
        <v>44692</v>
      </c>
      <c r="EU8" s="256">
        <v>22209</v>
      </c>
      <c r="EV8" s="256">
        <v>15518</v>
      </c>
      <c r="EW8" s="256">
        <v>90831</v>
      </c>
      <c r="EX8" s="256">
        <v>87401</v>
      </c>
      <c r="EY8" s="256">
        <v>35017</v>
      </c>
      <c r="EZ8" s="256">
        <v>47801</v>
      </c>
      <c r="FA8" s="256">
        <v>48432</v>
      </c>
      <c r="FB8" s="256">
        <v>55699</v>
      </c>
      <c r="FC8" s="256">
        <v>73261</v>
      </c>
      <c r="FD8" s="256">
        <v>42429</v>
      </c>
      <c r="FE8" s="256">
        <v>50146</v>
      </c>
      <c r="FF8" s="256">
        <v>41273</v>
      </c>
      <c r="FG8" s="256">
        <v>27556</v>
      </c>
      <c r="FH8" s="256">
        <v>34109</v>
      </c>
      <c r="FI8" s="256">
        <v>27297</v>
      </c>
      <c r="FJ8" s="256">
        <v>54319</v>
      </c>
      <c r="FK8" s="256">
        <v>12695</v>
      </c>
      <c r="FL8" s="256">
        <v>65753</v>
      </c>
      <c r="FM8" s="256">
        <v>45749</v>
      </c>
      <c r="FN8" s="256">
        <v>22749</v>
      </c>
      <c r="FO8" s="256">
        <v>29526</v>
      </c>
      <c r="FP8" s="256">
        <v>56319</v>
      </c>
      <c r="FQ8" s="256">
        <v>22523</v>
      </c>
      <c r="FR8" s="256">
        <v>15730</v>
      </c>
      <c r="FS8" s="256">
        <v>37445</v>
      </c>
      <c r="FT8" s="256">
        <v>11491</v>
      </c>
      <c r="FU8" s="256">
        <v>28163</v>
      </c>
      <c r="FV8" s="256">
        <v>62384</v>
      </c>
      <c r="FW8" s="256">
        <v>11280</v>
      </c>
      <c r="FX8" s="256">
        <v>124084</v>
      </c>
      <c r="FY8" s="256">
        <v>125099</v>
      </c>
      <c r="FZ8" s="256">
        <v>27056</v>
      </c>
      <c r="GA8" s="256">
        <v>76534</v>
      </c>
      <c r="GB8" s="256">
        <v>78598</v>
      </c>
      <c r="GC8" s="256">
        <v>35879</v>
      </c>
      <c r="GD8" s="256">
        <v>30401</v>
      </c>
      <c r="GE8" s="256">
        <v>46601</v>
      </c>
      <c r="GF8" s="256">
        <v>22955</v>
      </c>
      <c r="GG8" s="256">
        <v>33729</v>
      </c>
      <c r="GH8" s="256">
        <v>23408</v>
      </c>
      <c r="GI8" s="256">
        <v>14467</v>
      </c>
      <c r="GJ8" s="256">
        <v>9537</v>
      </c>
      <c r="GK8" s="256">
        <v>22683</v>
      </c>
      <c r="GL8" s="256">
        <v>25030</v>
      </c>
      <c r="GM8" s="256">
        <v>23965</v>
      </c>
      <c r="GN8" s="256">
        <v>33213</v>
      </c>
      <c r="GO8" s="256">
        <v>121575</v>
      </c>
      <c r="GP8" s="256">
        <v>45101</v>
      </c>
      <c r="GQ8" s="256">
        <v>18828</v>
      </c>
      <c r="GR8" s="256">
        <v>81194</v>
      </c>
      <c r="GS8" s="256">
        <v>33920</v>
      </c>
      <c r="GT8" s="256">
        <v>48822</v>
      </c>
      <c r="GU8" s="256">
        <v>19341</v>
      </c>
      <c r="GV8" s="256">
        <v>33185</v>
      </c>
      <c r="GW8" s="256">
        <v>60797</v>
      </c>
      <c r="GX8" s="256">
        <v>10939</v>
      </c>
      <c r="GY8" s="256">
        <v>37129</v>
      </c>
      <c r="GZ8" s="256">
        <v>43909</v>
      </c>
      <c r="HA8" s="256">
        <v>36011</v>
      </c>
      <c r="HB8" s="256">
        <v>13917</v>
      </c>
      <c r="HC8" s="256">
        <v>7847</v>
      </c>
      <c r="HD8" s="256">
        <v>24339</v>
      </c>
      <c r="HE8" s="256">
        <v>17019</v>
      </c>
      <c r="HF8" s="256">
        <v>63462</v>
      </c>
      <c r="HG8" s="256">
        <v>28811</v>
      </c>
      <c r="HH8" s="256">
        <v>43171</v>
      </c>
      <c r="HI8" s="256">
        <v>177659</v>
      </c>
      <c r="HJ8" s="256">
        <v>85219</v>
      </c>
      <c r="HK8" s="256">
        <v>45228</v>
      </c>
      <c r="HL8" s="256">
        <v>7392</v>
      </c>
      <c r="HM8" s="256">
        <v>31253</v>
      </c>
      <c r="HN8" s="256">
        <v>47291</v>
      </c>
      <c r="HO8" s="256">
        <v>43508</v>
      </c>
      <c r="HP8" s="256">
        <v>23383</v>
      </c>
      <c r="HQ8" s="256">
        <v>27851</v>
      </c>
      <c r="HR8" s="256">
        <v>24840</v>
      </c>
      <c r="HS8" s="256">
        <v>18714</v>
      </c>
      <c r="HT8" s="256">
        <v>26245</v>
      </c>
      <c r="HU8" s="256">
        <v>38209</v>
      </c>
      <c r="HV8" s="256">
        <v>23646</v>
      </c>
      <c r="HW8" s="256">
        <v>31836</v>
      </c>
      <c r="HX8" s="256">
        <v>18252</v>
      </c>
      <c r="HY8" s="256">
        <v>18009</v>
      </c>
      <c r="HZ8" s="256">
        <v>29627</v>
      </c>
      <c r="IA8" s="256">
        <v>55982</v>
      </c>
      <c r="IB8" s="256">
        <v>25469</v>
      </c>
      <c r="IC8" s="256">
        <v>9735</v>
      </c>
      <c r="ID8" s="256">
        <v>11836</v>
      </c>
      <c r="IE8" s="256">
        <v>29733</v>
      </c>
      <c r="IF8" s="256">
        <v>91915</v>
      </c>
      <c r="IG8" s="256">
        <v>39388</v>
      </c>
      <c r="IH8" s="256">
        <v>14026</v>
      </c>
      <c r="II8" s="256">
        <v>10230</v>
      </c>
      <c r="IJ8" s="256">
        <v>47906</v>
      </c>
      <c r="IK8" s="256">
        <v>32136</v>
      </c>
      <c r="IL8" s="256">
        <v>43425</v>
      </c>
      <c r="IM8" s="256">
        <v>12196</v>
      </c>
      <c r="IN8" s="256">
        <v>55308</v>
      </c>
      <c r="IO8" s="256">
        <v>81249</v>
      </c>
      <c r="IP8" s="256">
        <v>24112</v>
      </c>
      <c r="IQ8" s="256">
        <v>37712</v>
      </c>
      <c r="IR8" s="256">
        <v>22730</v>
      </c>
      <c r="IS8" s="256">
        <v>31419</v>
      </c>
      <c r="IT8" s="256">
        <v>5444</v>
      </c>
      <c r="IU8" s="256">
        <v>13112</v>
      </c>
      <c r="IV8" s="256">
        <v>43761</v>
      </c>
      <c r="IW8" s="256">
        <v>20119</v>
      </c>
      <c r="IX8" s="256">
        <v>46189</v>
      </c>
      <c r="IY8" s="256">
        <v>38177</v>
      </c>
      <c r="IZ8" s="256">
        <v>54450</v>
      </c>
      <c r="JA8" s="256">
        <v>20574</v>
      </c>
      <c r="JB8" s="256">
        <v>58260</v>
      </c>
      <c r="JC8" s="256">
        <v>44456</v>
      </c>
      <c r="JD8" s="256">
        <v>77251</v>
      </c>
      <c r="JE8" s="256">
        <v>651157</v>
      </c>
      <c r="JF8" s="256">
        <v>1704</v>
      </c>
      <c r="JG8" s="256">
        <v>22878</v>
      </c>
      <c r="JH8" s="256">
        <v>46483</v>
      </c>
      <c r="JI8" s="256">
        <v>9880</v>
      </c>
      <c r="JJ8" s="256">
        <v>78730</v>
      </c>
      <c r="JK8" s="256">
        <v>947</v>
      </c>
      <c r="JL8" s="256">
        <v>33839</v>
      </c>
      <c r="JM8" s="256">
        <v>10555</v>
      </c>
      <c r="JN8" s="256">
        <v>11664</v>
      </c>
      <c r="JO8" s="256">
        <v>29208</v>
      </c>
      <c r="JP8" s="256">
        <v>92429</v>
      </c>
      <c r="JQ8" s="256">
        <v>25220</v>
      </c>
      <c r="JR8" s="256">
        <v>23210</v>
      </c>
      <c r="JS8" s="256">
        <v>56150</v>
      </c>
      <c r="JT8" s="256">
        <v>46606</v>
      </c>
      <c r="JU8" s="256">
        <v>19368</v>
      </c>
      <c r="JV8" s="256">
        <v>17322</v>
      </c>
      <c r="JW8" s="256">
        <v>31686</v>
      </c>
      <c r="JX8" s="256">
        <v>17145</v>
      </c>
      <c r="JY8" s="256">
        <v>21726</v>
      </c>
      <c r="JZ8" s="256">
        <v>24416</v>
      </c>
      <c r="KA8" s="256">
        <v>44126</v>
      </c>
      <c r="KB8" s="256">
        <v>25007</v>
      </c>
      <c r="KC8" s="256">
        <v>64931</v>
      </c>
      <c r="KD8" s="256">
        <v>89987</v>
      </c>
      <c r="KE8" s="256">
        <v>54426</v>
      </c>
      <c r="KF8" s="256">
        <v>4888</v>
      </c>
      <c r="KG8" s="256">
        <v>13575</v>
      </c>
      <c r="KH8" s="256">
        <v>37440</v>
      </c>
      <c r="KI8" s="256">
        <v>25757</v>
      </c>
      <c r="KJ8" s="256">
        <v>42159</v>
      </c>
      <c r="KK8" s="256">
        <v>219789</v>
      </c>
      <c r="KL8" s="256">
        <v>21275</v>
      </c>
      <c r="KM8" s="256">
        <v>33743</v>
      </c>
      <c r="KN8" s="256">
        <v>33887</v>
      </c>
      <c r="KO8" s="256">
        <v>32052</v>
      </c>
      <c r="KP8" s="256">
        <v>42119</v>
      </c>
      <c r="KQ8" s="256">
        <v>13666</v>
      </c>
      <c r="KR8" s="256">
        <v>29478</v>
      </c>
      <c r="KS8" s="256">
        <v>21031</v>
      </c>
      <c r="KT8" s="256">
        <v>357597</v>
      </c>
      <c r="KU8" s="256">
        <v>49580</v>
      </c>
      <c r="KV8" s="256">
        <v>10105</v>
      </c>
      <c r="KW8" s="256">
        <v>16367</v>
      </c>
      <c r="KX8" s="256">
        <v>31193</v>
      </c>
      <c r="KY8" s="256">
        <v>27384</v>
      </c>
      <c r="KZ8" s="256">
        <v>66493</v>
      </c>
      <c r="LA8" s="256">
        <v>21880</v>
      </c>
      <c r="LB8" s="256">
        <v>45466</v>
      </c>
      <c r="LC8" s="256">
        <v>68648</v>
      </c>
      <c r="LD8" s="256">
        <v>101802</v>
      </c>
      <c r="LE8" s="256">
        <v>43614</v>
      </c>
      <c r="LF8" s="256">
        <v>56811</v>
      </c>
      <c r="LG8" s="256">
        <v>73397</v>
      </c>
      <c r="LH8" s="256">
        <v>1155</v>
      </c>
      <c r="LI8" s="256">
        <v>44360</v>
      </c>
      <c r="LJ8" s="256">
        <v>12475</v>
      </c>
      <c r="LK8" s="256">
        <v>25596</v>
      </c>
      <c r="LL8" s="256">
        <v>24552</v>
      </c>
      <c r="LM8" s="256">
        <v>26558</v>
      </c>
      <c r="LN8" s="256">
        <v>46090</v>
      </c>
      <c r="LO8" s="256">
        <v>17456</v>
      </c>
      <c r="LP8" s="256">
        <v>48637</v>
      </c>
      <c r="LQ8" s="256">
        <v>29291</v>
      </c>
      <c r="LR8" s="256">
        <v>39664</v>
      </c>
      <c r="LS8" s="256">
        <v>26305</v>
      </c>
      <c r="LT8" s="256">
        <v>17424</v>
      </c>
      <c r="LU8" s="256">
        <v>50105</v>
      </c>
      <c r="LV8" s="256">
        <v>19738</v>
      </c>
      <c r="LW8" s="256">
        <v>51128</v>
      </c>
      <c r="LX8" s="256">
        <v>19324</v>
      </c>
      <c r="LY8" s="256">
        <v>63329</v>
      </c>
      <c r="LZ8" s="256">
        <v>19460</v>
      </c>
      <c r="MA8" s="256">
        <v>14971</v>
      </c>
      <c r="MB8" s="256">
        <v>25733</v>
      </c>
      <c r="MC8" s="256">
        <v>110375</v>
      </c>
      <c r="MD8" s="256">
        <v>25914</v>
      </c>
      <c r="ME8" s="256">
        <v>14731</v>
      </c>
      <c r="MF8" s="256">
        <v>24446</v>
      </c>
      <c r="MG8" s="256">
        <v>41110</v>
      </c>
      <c r="MH8" s="256">
        <v>24358</v>
      </c>
      <c r="MI8" s="256">
        <v>23914</v>
      </c>
      <c r="MJ8" s="256">
        <v>28854</v>
      </c>
      <c r="MK8" s="256">
        <v>21876</v>
      </c>
      <c r="ML8" s="256">
        <v>52299</v>
      </c>
      <c r="MM8" s="256">
        <v>24330</v>
      </c>
      <c r="MN8" s="256">
        <v>16270</v>
      </c>
      <c r="MO8" s="256">
        <v>13362</v>
      </c>
      <c r="MP8" s="256">
        <v>156794</v>
      </c>
      <c r="MQ8" s="256">
        <v>28881</v>
      </c>
      <c r="MR8" s="256">
        <v>17116</v>
      </c>
      <c r="MS8" s="256">
        <v>22653</v>
      </c>
      <c r="MT8" s="256">
        <v>64905</v>
      </c>
      <c r="MU8" s="256">
        <v>43750</v>
      </c>
      <c r="MV8" s="256">
        <v>125285</v>
      </c>
      <c r="MW8" s="256">
        <v>8605</v>
      </c>
      <c r="MX8" s="256">
        <v>43885</v>
      </c>
      <c r="MY8" s="256">
        <v>21829</v>
      </c>
      <c r="MZ8" s="256">
        <v>47934</v>
      </c>
      <c r="NA8" s="256">
        <v>22685</v>
      </c>
      <c r="NB8" s="256">
        <v>44737</v>
      </c>
      <c r="NC8" s="256">
        <v>128840</v>
      </c>
      <c r="ND8" s="256">
        <v>120000</v>
      </c>
    </row>
    <row r="9" spans="1:368" s="255" customFormat="1" ht="14.4" x14ac:dyDescent="0.3">
      <c r="A9" s="254"/>
      <c r="B9" s="257"/>
      <c r="E9" s="255" t="s">
        <v>773</v>
      </c>
      <c r="F9" s="255" t="s">
        <v>407</v>
      </c>
      <c r="G9" s="255" t="s">
        <v>407</v>
      </c>
      <c r="K9" s="255">
        <f t="shared" ref="K9:K42" si="6">K8+1</f>
        <v>8</v>
      </c>
      <c r="M9" s="256">
        <v>5</v>
      </c>
      <c r="N9" s="256">
        <v>4</v>
      </c>
      <c r="O9" s="256">
        <v>4</v>
      </c>
      <c r="P9" s="256">
        <v>5</v>
      </c>
      <c r="Q9" s="256">
        <v>2</v>
      </c>
      <c r="R9" s="256">
        <v>3</v>
      </c>
      <c r="S9" s="256">
        <v>2</v>
      </c>
      <c r="T9" s="256">
        <v>2</v>
      </c>
      <c r="U9" s="256">
        <v>2</v>
      </c>
      <c r="V9" s="256">
        <v>2</v>
      </c>
      <c r="W9" s="256">
        <v>5</v>
      </c>
      <c r="X9" s="256">
        <v>4</v>
      </c>
      <c r="Y9" s="256">
        <v>5</v>
      </c>
      <c r="Z9" s="256">
        <v>2</v>
      </c>
      <c r="AA9" s="256">
        <v>1</v>
      </c>
      <c r="AB9" s="256">
        <v>1</v>
      </c>
      <c r="AC9" s="256">
        <v>2</v>
      </c>
      <c r="AD9" s="256">
        <v>3</v>
      </c>
      <c r="AE9" s="256">
        <v>2</v>
      </c>
      <c r="AF9" s="256">
        <v>2</v>
      </c>
      <c r="AG9" s="256">
        <v>4</v>
      </c>
      <c r="AH9" s="256">
        <v>5</v>
      </c>
      <c r="AI9" s="256">
        <v>2</v>
      </c>
      <c r="AJ9" s="256">
        <v>2</v>
      </c>
      <c r="AK9" s="256">
        <v>4</v>
      </c>
      <c r="AL9" s="256">
        <v>4</v>
      </c>
      <c r="AM9" s="256">
        <v>5</v>
      </c>
      <c r="AN9" s="256">
        <v>4</v>
      </c>
      <c r="AO9" s="256">
        <v>4</v>
      </c>
      <c r="AP9" s="256">
        <v>4</v>
      </c>
      <c r="AQ9" s="256">
        <v>4</v>
      </c>
      <c r="AR9" s="256">
        <v>5</v>
      </c>
      <c r="AS9" s="256">
        <v>4</v>
      </c>
      <c r="AT9" s="256">
        <v>2</v>
      </c>
      <c r="AU9" s="256">
        <v>4</v>
      </c>
      <c r="AV9" s="256">
        <v>4</v>
      </c>
      <c r="AW9" s="256">
        <v>3</v>
      </c>
      <c r="AX9" s="256">
        <v>4</v>
      </c>
      <c r="AY9" s="256">
        <v>1</v>
      </c>
      <c r="AZ9" s="256">
        <v>3</v>
      </c>
      <c r="BA9" s="256">
        <v>4</v>
      </c>
      <c r="BB9" s="256">
        <v>3</v>
      </c>
      <c r="BC9" s="256">
        <v>3</v>
      </c>
      <c r="BD9" s="256">
        <v>3</v>
      </c>
      <c r="BE9" s="256">
        <v>4</v>
      </c>
      <c r="BF9" s="256">
        <v>5</v>
      </c>
      <c r="BG9" s="256">
        <v>3</v>
      </c>
      <c r="BH9" s="256">
        <v>5</v>
      </c>
      <c r="BI9" s="256">
        <v>4</v>
      </c>
      <c r="BJ9" s="256">
        <v>3</v>
      </c>
      <c r="BK9" s="256">
        <v>2</v>
      </c>
      <c r="BL9" s="256">
        <v>4</v>
      </c>
      <c r="BM9" s="256">
        <v>5</v>
      </c>
      <c r="BN9" s="256">
        <v>4</v>
      </c>
      <c r="BO9" s="256">
        <v>2</v>
      </c>
      <c r="BP9" s="256">
        <v>4</v>
      </c>
      <c r="BQ9" s="256">
        <v>3</v>
      </c>
      <c r="BR9" s="256">
        <v>5</v>
      </c>
      <c r="BS9" s="256">
        <v>2</v>
      </c>
      <c r="BT9" s="256">
        <v>3</v>
      </c>
      <c r="BU9" s="256">
        <v>5</v>
      </c>
      <c r="BV9" s="256">
        <v>4</v>
      </c>
      <c r="BW9" s="256">
        <v>4</v>
      </c>
      <c r="BX9" s="256">
        <v>3</v>
      </c>
      <c r="BY9" s="256">
        <v>4</v>
      </c>
      <c r="BZ9" s="256">
        <v>5</v>
      </c>
      <c r="CA9" s="256">
        <v>1</v>
      </c>
      <c r="CB9" s="256">
        <v>4</v>
      </c>
      <c r="CC9" s="256">
        <v>4</v>
      </c>
      <c r="CD9" s="256">
        <v>2</v>
      </c>
      <c r="CE9" s="256">
        <v>1</v>
      </c>
      <c r="CF9" s="256">
        <v>5</v>
      </c>
      <c r="CG9" s="256">
        <v>4</v>
      </c>
      <c r="CH9" s="256">
        <v>3</v>
      </c>
      <c r="CI9" s="256">
        <v>3</v>
      </c>
      <c r="CJ9" s="256">
        <v>1</v>
      </c>
      <c r="CK9" s="256">
        <v>4</v>
      </c>
      <c r="CL9" s="256">
        <v>4</v>
      </c>
      <c r="CM9" s="256">
        <v>4</v>
      </c>
      <c r="CN9" s="256">
        <v>4</v>
      </c>
      <c r="CO9" s="256">
        <v>3</v>
      </c>
      <c r="CP9" s="256">
        <v>4</v>
      </c>
      <c r="CQ9" s="256">
        <v>3</v>
      </c>
      <c r="CR9" s="256">
        <v>2</v>
      </c>
      <c r="CS9" s="256">
        <v>4</v>
      </c>
      <c r="CT9" s="256">
        <v>4</v>
      </c>
      <c r="CU9" s="256">
        <v>5</v>
      </c>
      <c r="CV9" s="256">
        <v>1</v>
      </c>
      <c r="CW9" s="256">
        <v>4</v>
      </c>
      <c r="CX9" s="256">
        <v>4</v>
      </c>
      <c r="CY9" s="256">
        <v>3</v>
      </c>
      <c r="CZ9" s="256">
        <v>2</v>
      </c>
      <c r="DA9" s="256">
        <v>4</v>
      </c>
      <c r="DB9" s="256">
        <v>4</v>
      </c>
      <c r="DC9" s="256">
        <v>2</v>
      </c>
      <c r="DD9" s="256">
        <v>4</v>
      </c>
      <c r="DE9" s="256">
        <v>3</v>
      </c>
      <c r="DF9" s="256">
        <v>3</v>
      </c>
      <c r="DG9" s="256">
        <v>4</v>
      </c>
      <c r="DH9" s="256">
        <v>4</v>
      </c>
      <c r="DI9" s="256">
        <v>3</v>
      </c>
      <c r="DJ9" s="256">
        <v>4</v>
      </c>
      <c r="DK9" s="256">
        <v>3</v>
      </c>
      <c r="DL9" s="256">
        <v>3</v>
      </c>
      <c r="DM9" s="256">
        <v>2</v>
      </c>
      <c r="DN9" s="256">
        <v>2</v>
      </c>
      <c r="DO9" s="256">
        <v>1</v>
      </c>
      <c r="DP9" s="256">
        <v>4</v>
      </c>
      <c r="DQ9" s="256">
        <v>1</v>
      </c>
      <c r="DR9" s="256">
        <v>1</v>
      </c>
      <c r="DS9" s="256">
        <v>5</v>
      </c>
      <c r="DT9" s="256">
        <v>3</v>
      </c>
      <c r="DU9" s="256">
        <v>5</v>
      </c>
      <c r="DV9" s="256">
        <v>1</v>
      </c>
      <c r="DW9" s="256">
        <v>2</v>
      </c>
      <c r="DX9" s="256">
        <v>4</v>
      </c>
      <c r="DY9" s="256">
        <v>4</v>
      </c>
      <c r="DZ9" s="256">
        <v>2</v>
      </c>
      <c r="EA9" s="256">
        <v>4</v>
      </c>
      <c r="EB9" s="256">
        <v>3</v>
      </c>
      <c r="EC9" s="256">
        <v>4</v>
      </c>
      <c r="ED9" s="256">
        <v>2</v>
      </c>
      <c r="EE9" s="256">
        <v>2</v>
      </c>
      <c r="EF9" s="256">
        <v>4</v>
      </c>
      <c r="EG9" s="256">
        <v>3</v>
      </c>
      <c r="EH9" s="256">
        <v>2</v>
      </c>
      <c r="EI9" s="256">
        <v>2</v>
      </c>
      <c r="EJ9" s="256">
        <v>4</v>
      </c>
      <c r="EK9" s="256">
        <v>3</v>
      </c>
      <c r="EL9" s="256">
        <v>2</v>
      </c>
      <c r="EM9" s="256">
        <v>4</v>
      </c>
      <c r="EN9" s="256">
        <v>2</v>
      </c>
      <c r="EO9" s="256">
        <v>2</v>
      </c>
      <c r="EP9" s="256">
        <v>2</v>
      </c>
      <c r="EQ9" s="256">
        <v>2</v>
      </c>
      <c r="ER9" s="256">
        <v>2</v>
      </c>
      <c r="ES9" s="256">
        <v>4</v>
      </c>
      <c r="ET9" s="256">
        <v>3</v>
      </c>
      <c r="EU9" s="256">
        <v>2</v>
      </c>
      <c r="EV9" s="256">
        <v>4</v>
      </c>
      <c r="EW9" s="256">
        <v>1</v>
      </c>
      <c r="EX9" s="256">
        <v>4</v>
      </c>
      <c r="EY9" s="256">
        <v>4</v>
      </c>
      <c r="EZ9" s="256">
        <v>5</v>
      </c>
      <c r="FA9" s="256">
        <v>5</v>
      </c>
      <c r="FB9" s="256">
        <v>3</v>
      </c>
      <c r="FC9" s="256">
        <v>2</v>
      </c>
      <c r="FD9" s="256">
        <v>4</v>
      </c>
      <c r="FE9" s="256">
        <v>2</v>
      </c>
      <c r="FF9" s="256">
        <v>2</v>
      </c>
      <c r="FG9" s="256">
        <v>4</v>
      </c>
      <c r="FH9" s="256">
        <v>2</v>
      </c>
      <c r="FI9" s="256">
        <v>4</v>
      </c>
      <c r="FJ9" s="256">
        <v>3</v>
      </c>
      <c r="FK9" s="256">
        <v>4</v>
      </c>
      <c r="FL9" s="256">
        <v>2</v>
      </c>
      <c r="FM9" s="256">
        <v>2</v>
      </c>
      <c r="FN9" s="256">
        <v>5</v>
      </c>
      <c r="FO9" s="256">
        <v>2</v>
      </c>
      <c r="FP9" s="256">
        <v>4</v>
      </c>
      <c r="FQ9" s="256">
        <v>4</v>
      </c>
      <c r="FR9" s="256">
        <v>5</v>
      </c>
      <c r="FS9" s="256">
        <v>3</v>
      </c>
      <c r="FT9" s="256">
        <v>3</v>
      </c>
      <c r="FU9" s="256">
        <v>4</v>
      </c>
      <c r="FV9" s="256">
        <v>3</v>
      </c>
      <c r="FW9" s="256">
        <v>3</v>
      </c>
      <c r="FX9" s="256">
        <v>2</v>
      </c>
      <c r="FY9" s="256">
        <v>1</v>
      </c>
      <c r="FZ9" s="256">
        <v>2</v>
      </c>
      <c r="GA9" s="256">
        <v>1</v>
      </c>
      <c r="GB9" s="256">
        <v>3</v>
      </c>
      <c r="GC9" s="256">
        <v>5</v>
      </c>
      <c r="GD9" s="256">
        <v>3</v>
      </c>
      <c r="GE9" s="256">
        <v>4</v>
      </c>
      <c r="GF9" s="256">
        <v>2</v>
      </c>
      <c r="GG9" s="256">
        <v>4</v>
      </c>
      <c r="GH9" s="256">
        <v>3</v>
      </c>
      <c r="GI9" s="256">
        <v>5</v>
      </c>
      <c r="GJ9" s="256">
        <v>5</v>
      </c>
      <c r="GK9" s="256">
        <v>4</v>
      </c>
      <c r="GL9" s="256">
        <v>5</v>
      </c>
      <c r="GM9" s="256">
        <v>5</v>
      </c>
      <c r="GN9" s="256">
        <v>2</v>
      </c>
      <c r="GO9" s="256">
        <v>2</v>
      </c>
      <c r="GP9" s="256">
        <v>4</v>
      </c>
      <c r="GQ9" s="256">
        <v>4</v>
      </c>
      <c r="GR9" s="256">
        <v>4</v>
      </c>
      <c r="GS9" s="256">
        <v>3</v>
      </c>
      <c r="GT9" s="256">
        <v>2</v>
      </c>
      <c r="GU9" s="256">
        <v>3</v>
      </c>
      <c r="GV9" s="256">
        <v>5</v>
      </c>
      <c r="GW9" s="256">
        <v>4</v>
      </c>
      <c r="GX9" s="256">
        <v>5</v>
      </c>
      <c r="GY9" s="256">
        <v>4</v>
      </c>
      <c r="GZ9" s="256">
        <v>5</v>
      </c>
      <c r="HA9" s="256">
        <v>4</v>
      </c>
      <c r="HB9" s="256">
        <v>4</v>
      </c>
      <c r="HC9" s="256">
        <v>5</v>
      </c>
      <c r="HD9" s="256">
        <v>5</v>
      </c>
      <c r="HE9" s="256">
        <v>4</v>
      </c>
      <c r="HF9" s="256">
        <v>2</v>
      </c>
      <c r="HG9" s="256">
        <v>4</v>
      </c>
      <c r="HH9" s="256">
        <v>3</v>
      </c>
      <c r="HI9" s="256">
        <v>2</v>
      </c>
      <c r="HJ9" s="256">
        <v>2</v>
      </c>
      <c r="HK9" s="256">
        <v>5</v>
      </c>
      <c r="HL9" s="256">
        <v>5</v>
      </c>
      <c r="HM9" s="256">
        <v>4</v>
      </c>
      <c r="HN9" s="256">
        <v>4</v>
      </c>
      <c r="HO9" s="256">
        <v>3</v>
      </c>
      <c r="HP9" s="256">
        <v>3</v>
      </c>
      <c r="HQ9" s="256">
        <v>4</v>
      </c>
      <c r="HR9" s="256">
        <v>2</v>
      </c>
      <c r="HS9" s="256">
        <v>4</v>
      </c>
      <c r="HT9" s="256">
        <v>3</v>
      </c>
      <c r="HU9" s="256">
        <v>4</v>
      </c>
      <c r="HV9" s="256">
        <v>4</v>
      </c>
      <c r="HW9" s="256">
        <v>3</v>
      </c>
      <c r="HX9" s="256">
        <v>5</v>
      </c>
      <c r="HY9" s="256">
        <v>4</v>
      </c>
      <c r="HZ9" s="256">
        <v>4</v>
      </c>
      <c r="IA9" s="256">
        <v>2</v>
      </c>
      <c r="IB9" s="256">
        <v>5</v>
      </c>
      <c r="IC9" s="256">
        <v>3</v>
      </c>
      <c r="ID9" s="256">
        <v>4</v>
      </c>
      <c r="IE9" s="256">
        <v>5</v>
      </c>
      <c r="IF9" s="256">
        <v>3</v>
      </c>
      <c r="IG9" s="256">
        <v>4</v>
      </c>
      <c r="IH9" s="256">
        <v>3</v>
      </c>
      <c r="II9" s="256">
        <v>4</v>
      </c>
      <c r="IJ9" s="256">
        <v>4</v>
      </c>
      <c r="IK9" s="256">
        <v>2</v>
      </c>
      <c r="IL9" s="256">
        <v>4</v>
      </c>
      <c r="IM9" s="256">
        <v>4</v>
      </c>
      <c r="IN9" s="256">
        <v>2</v>
      </c>
      <c r="IO9" s="256">
        <v>2</v>
      </c>
      <c r="IP9" s="256">
        <v>4</v>
      </c>
      <c r="IQ9" s="256">
        <v>4</v>
      </c>
      <c r="IR9" s="256">
        <v>4</v>
      </c>
      <c r="IS9" s="256">
        <v>4</v>
      </c>
      <c r="IT9" s="256">
        <v>4</v>
      </c>
      <c r="IU9" s="256">
        <v>4</v>
      </c>
      <c r="IV9" s="256">
        <v>3</v>
      </c>
      <c r="IW9" s="256">
        <v>4</v>
      </c>
      <c r="IX9" s="256">
        <v>2</v>
      </c>
      <c r="IY9" s="256">
        <v>3</v>
      </c>
      <c r="IZ9" s="256">
        <v>1</v>
      </c>
      <c r="JA9" s="256">
        <v>5</v>
      </c>
      <c r="JB9" s="256">
        <v>2</v>
      </c>
      <c r="JC9" s="256">
        <v>4</v>
      </c>
      <c r="JD9" s="256">
        <v>2</v>
      </c>
      <c r="JE9" s="256">
        <v>1</v>
      </c>
      <c r="JF9" s="256">
        <v>4</v>
      </c>
      <c r="JG9" s="256">
        <v>4</v>
      </c>
      <c r="JH9" s="256">
        <v>4</v>
      </c>
      <c r="JI9" s="256">
        <v>4</v>
      </c>
      <c r="JJ9" s="256">
        <v>1</v>
      </c>
      <c r="JK9" s="256">
        <v>5</v>
      </c>
      <c r="JL9" s="256">
        <v>5</v>
      </c>
      <c r="JM9" s="256">
        <v>4</v>
      </c>
      <c r="JN9" s="256">
        <v>5</v>
      </c>
      <c r="JO9" s="256">
        <v>4</v>
      </c>
      <c r="JP9" s="256">
        <v>3</v>
      </c>
      <c r="JQ9" s="256">
        <v>2</v>
      </c>
      <c r="JR9" s="256">
        <v>5</v>
      </c>
      <c r="JS9" s="256">
        <v>3</v>
      </c>
      <c r="JT9" s="256">
        <v>3</v>
      </c>
      <c r="JU9" s="256">
        <v>4</v>
      </c>
      <c r="JV9" s="256">
        <v>4</v>
      </c>
      <c r="JW9" s="256">
        <v>4</v>
      </c>
      <c r="JX9" s="256">
        <v>5</v>
      </c>
      <c r="JY9" s="256">
        <v>3</v>
      </c>
      <c r="JZ9" s="256">
        <v>4</v>
      </c>
      <c r="KA9" s="256">
        <v>4</v>
      </c>
      <c r="KB9" s="256">
        <v>4</v>
      </c>
      <c r="KC9" s="256">
        <v>3</v>
      </c>
      <c r="KD9" s="256">
        <v>4</v>
      </c>
      <c r="KE9" s="256">
        <v>4</v>
      </c>
      <c r="KF9" s="256">
        <v>5</v>
      </c>
      <c r="KG9" s="256">
        <v>5</v>
      </c>
      <c r="KH9" s="256">
        <v>3</v>
      </c>
      <c r="KI9" s="256">
        <v>5</v>
      </c>
      <c r="KJ9" s="256">
        <v>3</v>
      </c>
      <c r="KK9" s="256">
        <v>1</v>
      </c>
      <c r="KL9" s="256">
        <v>5</v>
      </c>
      <c r="KM9" s="256">
        <v>4</v>
      </c>
      <c r="KN9" s="256">
        <v>4</v>
      </c>
      <c r="KO9" s="256">
        <v>5</v>
      </c>
      <c r="KP9" s="256">
        <v>3</v>
      </c>
      <c r="KQ9" s="256">
        <v>3</v>
      </c>
      <c r="KR9" s="256">
        <v>3</v>
      </c>
      <c r="KS9" s="256">
        <v>3</v>
      </c>
      <c r="KT9" s="256">
        <v>1</v>
      </c>
      <c r="KU9" s="256">
        <v>4</v>
      </c>
      <c r="KV9" s="256">
        <v>3</v>
      </c>
      <c r="KW9" s="256">
        <v>4</v>
      </c>
      <c r="KX9" s="256">
        <v>3</v>
      </c>
      <c r="KY9" s="256">
        <v>3</v>
      </c>
      <c r="KZ9" s="256">
        <v>2</v>
      </c>
      <c r="LA9" s="256">
        <v>5</v>
      </c>
      <c r="LB9" s="256">
        <v>2</v>
      </c>
      <c r="LC9" s="256">
        <v>2</v>
      </c>
      <c r="LD9" s="256">
        <v>2</v>
      </c>
      <c r="LE9" s="256">
        <v>3</v>
      </c>
      <c r="LF9" s="256">
        <v>4</v>
      </c>
      <c r="LG9" s="256">
        <v>1</v>
      </c>
      <c r="LH9" s="256">
        <v>5</v>
      </c>
      <c r="LI9" s="256">
        <v>2</v>
      </c>
      <c r="LJ9" s="256">
        <v>4</v>
      </c>
      <c r="LK9" s="256">
        <v>2</v>
      </c>
      <c r="LL9" s="256">
        <v>4</v>
      </c>
      <c r="LM9" s="256">
        <v>3</v>
      </c>
      <c r="LN9" s="256">
        <v>5</v>
      </c>
      <c r="LO9" s="256">
        <v>4</v>
      </c>
      <c r="LP9" s="256">
        <v>3</v>
      </c>
      <c r="LQ9" s="256">
        <v>2</v>
      </c>
      <c r="LR9" s="256">
        <v>2</v>
      </c>
      <c r="LS9" s="256">
        <v>3</v>
      </c>
      <c r="LT9" s="256">
        <v>4</v>
      </c>
      <c r="LU9" s="256">
        <v>3</v>
      </c>
      <c r="LV9" s="256">
        <v>2</v>
      </c>
      <c r="LW9" s="256">
        <v>5</v>
      </c>
      <c r="LX9" s="256">
        <v>5</v>
      </c>
      <c r="LY9" s="256">
        <v>5</v>
      </c>
      <c r="LZ9" s="256">
        <v>5</v>
      </c>
      <c r="MA9" s="256">
        <v>3</v>
      </c>
      <c r="MB9" s="256">
        <v>5</v>
      </c>
      <c r="MC9" s="256">
        <v>3</v>
      </c>
      <c r="MD9" s="256">
        <v>4</v>
      </c>
      <c r="ME9" s="256">
        <v>4</v>
      </c>
      <c r="MF9" s="256">
        <v>4</v>
      </c>
      <c r="MG9" s="256">
        <v>3</v>
      </c>
      <c r="MH9" s="256">
        <v>4</v>
      </c>
      <c r="MI9" s="256">
        <v>3</v>
      </c>
      <c r="MJ9" s="256">
        <v>3</v>
      </c>
      <c r="MK9" s="256">
        <v>4</v>
      </c>
      <c r="ML9" s="256">
        <v>3</v>
      </c>
      <c r="MM9" s="256">
        <v>5</v>
      </c>
      <c r="MN9" s="256">
        <v>3</v>
      </c>
      <c r="MO9" s="256">
        <v>4</v>
      </c>
      <c r="MP9" s="256">
        <v>2</v>
      </c>
      <c r="MQ9" s="256">
        <v>4</v>
      </c>
      <c r="MR9" s="256">
        <v>2</v>
      </c>
      <c r="MS9" s="256">
        <v>4</v>
      </c>
      <c r="MT9" s="256">
        <v>2</v>
      </c>
      <c r="MU9" s="256">
        <v>3</v>
      </c>
      <c r="MV9" s="256">
        <v>1</v>
      </c>
      <c r="MW9" s="256">
        <v>4</v>
      </c>
      <c r="MX9" s="256">
        <v>3</v>
      </c>
      <c r="MY9" s="256">
        <v>4</v>
      </c>
      <c r="MZ9" s="256">
        <v>2</v>
      </c>
      <c r="NA9" s="256">
        <v>4</v>
      </c>
      <c r="NB9" s="256">
        <v>2</v>
      </c>
      <c r="NC9" s="256">
        <v>2</v>
      </c>
      <c r="ND9" s="256">
        <v>2</v>
      </c>
    </row>
    <row r="10" spans="1:368" s="255" customFormat="1" ht="14.4" x14ac:dyDescent="0.3">
      <c r="A10" s="254"/>
      <c r="B10" s="257"/>
      <c r="K10" s="255">
        <f t="shared" si="6"/>
        <v>9</v>
      </c>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c r="CH10" s="256"/>
      <c r="CI10" s="256"/>
      <c r="CJ10" s="256"/>
      <c r="CK10" s="256"/>
      <c r="CL10" s="256"/>
      <c r="CM10" s="256"/>
      <c r="CN10" s="256"/>
      <c r="CO10" s="256"/>
      <c r="CP10" s="256"/>
      <c r="CQ10" s="256"/>
      <c r="CR10" s="256"/>
      <c r="CS10" s="256"/>
      <c r="CT10" s="256"/>
      <c r="CU10" s="256"/>
      <c r="CV10" s="256"/>
      <c r="CW10" s="256"/>
      <c r="CX10" s="256"/>
      <c r="CY10" s="256"/>
      <c r="CZ10" s="256"/>
      <c r="DA10" s="256"/>
      <c r="DB10" s="256"/>
      <c r="DC10" s="256"/>
      <c r="DD10" s="256"/>
      <c r="DE10" s="256"/>
      <c r="DF10" s="256"/>
      <c r="DG10" s="256"/>
      <c r="DH10" s="256"/>
      <c r="DI10" s="256"/>
      <c r="DJ10" s="256"/>
      <c r="DK10" s="256"/>
      <c r="DL10" s="256"/>
      <c r="DM10" s="256"/>
      <c r="DN10" s="256"/>
      <c r="DO10" s="256"/>
      <c r="DP10" s="256"/>
      <c r="DQ10" s="256"/>
      <c r="DR10" s="256"/>
      <c r="DS10" s="256"/>
      <c r="DT10" s="256"/>
      <c r="DU10" s="256"/>
      <c r="DV10" s="256"/>
      <c r="DW10" s="256"/>
      <c r="DX10" s="256"/>
      <c r="DY10" s="256"/>
      <c r="DZ10" s="256"/>
      <c r="EA10" s="256"/>
      <c r="EB10" s="256"/>
      <c r="EC10" s="256"/>
      <c r="ED10" s="256"/>
      <c r="EE10" s="256"/>
      <c r="EF10" s="256"/>
      <c r="EG10" s="256"/>
      <c r="EH10" s="256"/>
      <c r="EI10" s="256"/>
      <c r="EJ10" s="256"/>
      <c r="EK10" s="256"/>
      <c r="EL10" s="256"/>
      <c r="EM10" s="256"/>
      <c r="EN10" s="256"/>
      <c r="EO10" s="256"/>
      <c r="EP10" s="256"/>
      <c r="EQ10" s="256"/>
      <c r="ER10" s="256"/>
      <c r="ES10" s="256"/>
      <c r="ET10" s="256"/>
      <c r="EU10" s="256"/>
      <c r="EV10" s="256"/>
      <c r="EW10" s="256"/>
      <c r="EX10" s="256"/>
      <c r="EY10" s="256"/>
      <c r="EZ10" s="256"/>
      <c r="FA10" s="256"/>
      <c r="FB10" s="256"/>
      <c r="FC10" s="256"/>
      <c r="FD10" s="256"/>
      <c r="FE10" s="256"/>
      <c r="FF10" s="256"/>
      <c r="FG10" s="256"/>
      <c r="FH10" s="256"/>
      <c r="FI10" s="256"/>
      <c r="FJ10" s="256"/>
      <c r="FK10" s="256"/>
      <c r="FL10" s="256"/>
      <c r="FM10" s="256"/>
      <c r="FN10" s="256"/>
      <c r="FO10" s="256"/>
      <c r="FP10" s="256"/>
      <c r="FQ10" s="256"/>
      <c r="FR10" s="256"/>
      <c r="FS10" s="256"/>
      <c r="FT10" s="256"/>
      <c r="FU10" s="256"/>
      <c r="FV10" s="256"/>
      <c r="FW10" s="256"/>
      <c r="FX10" s="256"/>
      <c r="FY10" s="256"/>
      <c r="FZ10" s="256"/>
      <c r="GA10" s="256"/>
      <c r="GB10" s="256"/>
      <c r="GC10" s="256"/>
      <c r="GD10" s="256"/>
      <c r="GE10" s="256"/>
      <c r="GF10" s="256"/>
      <c r="GG10" s="256"/>
      <c r="GH10" s="256"/>
      <c r="GI10" s="256"/>
      <c r="GJ10" s="256"/>
      <c r="GK10" s="256"/>
      <c r="GL10" s="256"/>
      <c r="GM10" s="256"/>
      <c r="GN10" s="256"/>
      <c r="GO10" s="256"/>
      <c r="GP10" s="256"/>
      <c r="GQ10" s="256"/>
      <c r="GR10" s="256"/>
      <c r="GS10" s="256"/>
      <c r="GT10" s="256"/>
      <c r="GU10" s="256"/>
      <c r="GV10" s="256"/>
      <c r="GW10" s="256"/>
      <c r="GX10" s="256"/>
      <c r="GY10" s="256"/>
      <c r="GZ10" s="256"/>
      <c r="HA10" s="256"/>
      <c r="HB10" s="256"/>
      <c r="HC10" s="256"/>
      <c r="HD10" s="256"/>
      <c r="HE10" s="256"/>
      <c r="HF10" s="256"/>
      <c r="HG10" s="256"/>
      <c r="HH10" s="256"/>
      <c r="HI10" s="256"/>
      <c r="HJ10" s="256"/>
      <c r="HK10" s="256"/>
      <c r="HL10" s="256"/>
      <c r="HM10" s="256"/>
      <c r="HN10" s="256"/>
      <c r="HO10" s="256"/>
      <c r="HP10" s="256"/>
      <c r="HQ10" s="256"/>
      <c r="HR10" s="256"/>
      <c r="HS10" s="256"/>
      <c r="HT10" s="256"/>
      <c r="HU10" s="256"/>
      <c r="HV10" s="256"/>
      <c r="HW10" s="256"/>
      <c r="HX10" s="256"/>
      <c r="HY10" s="256"/>
      <c r="HZ10" s="256"/>
      <c r="IA10" s="256"/>
      <c r="IB10" s="256"/>
      <c r="IC10" s="256"/>
      <c r="ID10" s="256"/>
      <c r="IE10" s="256"/>
      <c r="IF10" s="256"/>
      <c r="IG10" s="256"/>
      <c r="IH10" s="256"/>
      <c r="II10" s="256"/>
      <c r="IJ10" s="256"/>
      <c r="IK10" s="256"/>
      <c r="IL10" s="256"/>
      <c r="IM10" s="256"/>
      <c r="IN10" s="256"/>
      <c r="IO10" s="256"/>
      <c r="IP10" s="256"/>
      <c r="IQ10" s="256"/>
      <c r="IR10" s="256"/>
      <c r="IS10" s="256"/>
      <c r="IT10" s="256"/>
      <c r="IU10" s="256"/>
      <c r="IV10" s="256"/>
      <c r="IW10" s="256"/>
      <c r="IX10" s="256"/>
      <c r="IY10" s="256"/>
      <c r="IZ10" s="256"/>
      <c r="JA10" s="256"/>
      <c r="JB10" s="256"/>
      <c r="JC10" s="256"/>
      <c r="JD10" s="256"/>
      <c r="JE10" s="256"/>
      <c r="JF10" s="256"/>
      <c r="JG10" s="256"/>
      <c r="JH10" s="256"/>
      <c r="JI10" s="256"/>
      <c r="JJ10" s="256"/>
      <c r="JK10" s="256"/>
      <c r="JL10" s="256"/>
      <c r="JM10" s="256"/>
      <c r="JN10" s="256"/>
      <c r="JO10" s="256"/>
      <c r="JP10" s="256"/>
      <c r="JQ10" s="256"/>
      <c r="JR10" s="256"/>
      <c r="JS10" s="256"/>
      <c r="JT10" s="256"/>
      <c r="JU10" s="256"/>
      <c r="JV10" s="256"/>
      <c r="JW10" s="256"/>
      <c r="JX10" s="256"/>
      <c r="JY10" s="256"/>
      <c r="JZ10" s="256"/>
      <c r="KA10" s="256"/>
      <c r="KB10" s="256"/>
      <c r="KC10" s="256"/>
      <c r="KD10" s="256"/>
      <c r="KE10" s="256"/>
      <c r="KF10" s="256"/>
      <c r="KG10" s="256"/>
      <c r="KH10" s="256"/>
      <c r="KI10" s="256"/>
      <c r="KJ10" s="256"/>
      <c r="KK10" s="256"/>
      <c r="KL10" s="256"/>
      <c r="KM10" s="256"/>
      <c r="KN10" s="256"/>
      <c r="KO10" s="256"/>
      <c r="KP10" s="256"/>
      <c r="KQ10" s="256"/>
      <c r="KR10" s="256"/>
      <c r="KS10" s="256"/>
      <c r="KT10" s="256"/>
      <c r="KU10" s="256"/>
      <c r="KV10" s="256"/>
      <c r="KW10" s="256"/>
      <c r="KX10" s="256"/>
      <c r="KY10" s="256"/>
      <c r="KZ10" s="256"/>
      <c r="LA10" s="256"/>
      <c r="LB10" s="256"/>
      <c r="LC10" s="256"/>
      <c r="LD10" s="256"/>
      <c r="LE10" s="256"/>
      <c r="LF10" s="256"/>
      <c r="LG10" s="256"/>
      <c r="LH10" s="256"/>
      <c r="LI10" s="256"/>
      <c r="LJ10" s="256"/>
      <c r="LK10" s="256"/>
      <c r="LL10" s="256"/>
      <c r="LM10" s="256"/>
      <c r="LN10" s="256"/>
      <c r="LO10" s="256"/>
      <c r="LP10" s="256"/>
      <c r="LQ10" s="256"/>
      <c r="LR10" s="256"/>
      <c r="LS10" s="256"/>
      <c r="LT10" s="256"/>
      <c r="LU10" s="256"/>
      <c r="LV10" s="256"/>
      <c r="LW10" s="256"/>
      <c r="LX10" s="256"/>
      <c r="LY10" s="256"/>
      <c r="LZ10" s="256"/>
      <c r="MA10" s="256"/>
      <c r="MB10" s="256"/>
      <c r="MC10" s="256"/>
      <c r="MD10" s="256"/>
      <c r="ME10" s="256"/>
      <c r="MF10" s="256"/>
      <c r="MG10" s="256"/>
      <c r="MH10" s="256"/>
      <c r="MI10" s="256"/>
      <c r="MJ10" s="256"/>
      <c r="MK10" s="256"/>
      <c r="ML10" s="256"/>
      <c r="MM10" s="256"/>
      <c r="MN10" s="256"/>
      <c r="MO10" s="256"/>
      <c r="MP10" s="256"/>
      <c r="MQ10" s="256"/>
      <c r="MR10" s="256"/>
      <c r="MS10" s="256"/>
      <c r="MT10" s="256"/>
      <c r="MU10" s="256"/>
      <c r="MV10" s="256"/>
      <c r="MW10" s="256"/>
      <c r="MX10" s="256"/>
      <c r="MY10" s="256"/>
      <c r="MZ10" s="256"/>
      <c r="NA10" s="256"/>
      <c r="NB10" s="256"/>
      <c r="NC10" s="256"/>
      <c r="ND10" s="256"/>
    </row>
    <row r="11" spans="1:368" s="255" customFormat="1" ht="14.4" x14ac:dyDescent="0.3">
      <c r="A11" s="254"/>
      <c r="B11" s="257"/>
      <c r="D11" s="254" t="s">
        <v>8</v>
      </c>
      <c r="K11" s="255">
        <f t="shared" si="6"/>
        <v>10</v>
      </c>
      <c r="M11" s="256"/>
      <c r="N11" s="256"/>
      <c r="O11" s="256"/>
      <c r="P11" s="256"/>
      <c r="Q11" s="256"/>
      <c r="R11" s="256"/>
      <c r="S11" s="256"/>
      <c r="T11" s="256"/>
      <c r="U11" s="256"/>
      <c r="V11" s="256"/>
      <c r="W11" s="256"/>
      <c r="X11" s="256"/>
      <c r="Y11" s="256"/>
      <c r="Z11" s="256"/>
      <c r="AA11" s="256"/>
      <c r="AB11" s="259"/>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c r="CC11" s="256"/>
      <c r="CD11" s="256"/>
      <c r="CE11" s="256"/>
      <c r="CF11" s="256"/>
      <c r="CG11" s="256"/>
      <c r="CH11" s="256"/>
      <c r="CI11" s="256"/>
      <c r="CJ11" s="256"/>
      <c r="CK11" s="256"/>
      <c r="CL11" s="256"/>
      <c r="CM11" s="256"/>
      <c r="CN11" s="256"/>
      <c r="CO11" s="256"/>
      <c r="CP11" s="256"/>
      <c r="CQ11" s="256"/>
      <c r="CR11" s="256"/>
      <c r="CS11" s="256"/>
      <c r="CT11" s="256"/>
      <c r="CU11" s="256"/>
      <c r="CV11" s="256"/>
      <c r="CW11" s="256"/>
      <c r="CX11" s="256"/>
      <c r="CY11" s="256"/>
      <c r="CZ11" s="256"/>
      <c r="DA11" s="256"/>
      <c r="DB11" s="256"/>
      <c r="DC11" s="256"/>
      <c r="DD11" s="256"/>
      <c r="DE11" s="256"/>
      <c r="DF11" s="256"/>
      <c r="DG11" s="256"/>
      <c r="DH11" s="256"/>
      <c r="DI11" s="256"/>
      <c r="DJ11" s="256"/>
      <c r="DK11" s="256"/>
      <c r="DL11" s="256"/>
      <c r="DM11" s="256"/>
      <c r="DN11" s="256"/>
      <c r="DO11" s="256"/>
      <c r="DP11" s="256"/>
      <c r="DQ11" s="256"/>
      <c r="DR11" s="256"/>
      <c r="DS11" s="256"/>
      <c r="DT11" s="256"/>
      <c r="DU11" s="256"/>
      <c r="DV11" s="256"/>
      <c r="DW11" s="256"/>
      <c r="DX11" s="256"/>
      <c r="DY11" s="256"/>
      <c r="DZ11" s="256"/>
      <c r="EA11" s="256"/>
      <c r="EB11" s="256"/>
      <c r="EC11" s="256"/>
      <c r="ED11" s="256"/>
      <c r="EE11" s="256"/>
      <c r="EF11" s="256"/>
      <c r="EG11" s="256"/>
      <c r="EH11" s="256"/>
      <c r="EI11" s="256"/>
      <c r="EJ11" s="256"/>
      <c r="EK11" s="256"/>
      <c r="EL11" s="256"/>
      <c r="EM11" s="256"/>
      <c r="EN11" s="256"/>
      <c r="EO11" s="256"/>
      <c r="EP11" s="256"/>
      <c r="EQ11" s="256"/>
      <c r="ER11" s="256"/>
      <c r="ES11" s="256"/>
      <c r="ET11" s="256"/>
      <c r="EU11" s="256"/>
      <c r="EV11" s="256"/>
      <c r="EW11" s="256"/>
      <c r="EX11" s="256"/>
      <c r="EY11" s="256"/>
      <c r="EZ11" s="256"/>
      <c r="FA11" s="256"/>
      <c r="FB11" s="256"/>
      <c r="FC11" s="256"/>
      <c r="FD11" s="256"/>
      <c r="FE11" s="256"/>
      <c r="FF11" s="256"/>
      <c r="FG11" s="256"/>
      <c r="FH11" s="256"/>
      <c r="FI11" s="256"/>
      <c r="FJ11" s="256"/>
      <c r="FK11" s="256"/>
      <c r="FL11" s="256"/>
      <c r="FM11" s="256"/>
      <c r="FN11" s="256"/>
      <c r="FO11" s="256"/>
      <c r="FP11" s="256"/>
      <c r="FQ11" s="256"/>
      <c r="FR11" s="256"/>
      <c r="FS11" s="256"/>
      <c r="FT11" s="256"/>
      <c r="FU11" s="256"/>
      <c r="FV11" s="256"/>
      <c r="FW11" s="256"/>
      <c r="FX11" s="256"/>
      <c r="FY11" s="256"/>
      <c r="FZ11" s="256"/>
      <c r="GA11" s="256"/>
      <c r="GB11" s="256"/>
      <c r="GC11" s="256"/>
      <c r="GD11" s="256"/>
      <c r="GE11" s="256"/>
      <c r="GF11" s="256"/>
      <c r="GG11" s="256"/>
      <c r="GH11" s="256"/>
      <c r="GI11" s="256"/>
      <c r="GJ11" s="256"/>
      <c r="GK11" s="256"/>
      <c r="GL11" s="256"/>
      <c r="GM11" s="256"/>
      <c r="GN11" s="256"/>
      <c r="GO11" s="256"/>
      <c r="GP11" s="256"/>
      <c r="GQ11" s="256"/>
      <c r="GR11" s="256"/>
      <c r="GS11" s="256"/>
      <c r="GT11" s="256"/>
      <c r="GU11" s="256"/>
      <c r="GV11" s="256"/>
      <c r="GW11" s="256"/>
      <c r="GX11" s="256"/>
      <c r="GY11" s="256"/>
      <c r="GZ11" s="256"/>
      <c r="HA11" s="256"/>
      <c r="HB11" s="256"/>
      <c r="HC11" s="256"/>
      <c r="HD11" s="256"/>
      <c r="HE11" s="256"/>
      <c r="HF11" s="256"/>
      <c r="HG11" s="256"/>
      <c r="HH11" s="256"/>
      <c r="HI11" s="256"/>
      <c r="HJ11" s="256"/>
      <c r="HK11" s="256"/>
      <c r="HL11" s="256"/>
      <c r="HM11" s="256"/>
      <c r="HN11" s="256"/>
      <c r="HO11" s="256"/>
      <c r="HP11" s="256"/>
      <c r="HQ11" s="256"/>
      <c r="HR11" s="256"/>
      <c r="HS11" s="256"/>
      <c r="HT11" s="256"/>
      <c r="HU11" s="256"/>
      <c r="HV11" s="256"/>
      <c r="HW11" s="256"/>
      <c r="HX11" s="256"/>
      <c r="HY11" s="256"/>
      <c r="HZ11" s="256"/>
      <c r="IA11" s="256"/>
      <c r="IB11" s="256"/>
      <c r="IC11" s="256"/>
      <c r="ID11" s="256"/>
      <c r="IE11" s="256"/>
      <c r="IF11" s="256"/>
      <c r="IG11" s="256"/>
      <c r="IH11" s="256"/>
      <c r="II11" s="256"/>
      <c r="IJ11" s="256"/>
      <c r="IK11" s="256"/>
      <c r="IL11" s="256"/>
      <c r="IM11" s="256"/>
      <c r="IN11" s="256"/>
      <c r="IO11" s="256"/>
      <c r="IP11" s="256"/>
      <c r="IQ11" s="256"/>
      <c r="IR11" s="256"/>
      <c r="IS11" s="256"/>
      <c r="IT11" s="256"/>
      <c r="IU11" s="256"/>
      <c r="IV11" s="256"/>
      <c r="IW11" s="256"/>
      <c r="IX11" s="256"/>
      <c r="IY11" s="256"/>
      <c r="IZ11" s="256"/>
      <c r="JA11" s="256"/>
      <c r="JB11" s="256"/>
      <c r="JC11" s="256"/>
      <c r="JD11" s="256"/>
      <c r="JE11" s="256"/>
      <c r="JF11" s="256"/>
      <c r="JG11" s="256"/>
      <c r="JH11" s="256"/>
      <c r="JI11" s="256"/>
      <c r="JJ11" s="256"/>
      <c r="JK11" s="256"/>
      <c r="JL11" s="256"/>
      <c r="JM11" s="256"/>
      <c r="JN11" s="256"/>
      <c r="JO11" s="256"/>
      <c r="JP11" s="256"/>
      <c r="JQ11" s="256"/>
      <c r="JR11" s="256"/>
      <c r="JS11" s="256"/>
      <c r="JT11" s="256"/>
      <c r="JU11" s="256"/>
      <c r="JV11" s="256"/>
      <c r="JW11" s="256"/>
      <c r="JX11" s="256"/>
      <c r="JY11" s="256"/>
      <c r="JZ11" s="256"/>
      <c r="KA11" s="256"/>
      <c r="KB11" s="256"/>
      <c r="KC11" s="256"/>
      <c r="KD11" s="256"/>
      <c r="KE11" s="256"/>
      <c r="KF11" s="256"/>
      <c r="KG11" s="256"/>
      <c r="KH11" s="256"/>
      <c r="KI11" s="256"/>
      <c r="KJ11" s="256"/>
      <c r="KK11" s="256"/>
      <c r="KL11" s="256"/>
      <c r="KM11" s="256"/>
      <c r="KN11" s="256"/>
      <c r="KO11" s="256"/>
      <c r="KP11" s="256"/>
      <c r="KQ11" s="256"/>
      <c r="KR11" s="256"/>
      <c r="KS11" s="256"/>
      <c r="KT11" s="256"/>
      <c r="KU11" s="256"/>
      <c r="KV11" s="256"/>
      <c r="KW11" s="256"/>
      <c r="KX11" s="256"/>
      <c r="KY11" s="256"/>
      <c r="KZ11" s="256"/>
      <c r="LA11" s="256"/>
      <c r="LB11" s="256"/>
      <c r="LC11" s="256"/>
      <c r="LD11" s="256"/>
      <c r="LE11" s="256"/>
      <c r="LF11" s="256"/>
      <c r="LG11" s="256"/>
      <c r="LH11" s="256"/>
      <c r="LI11" s="256"/>
      <c r="LJ11" s="256"/>
      <c r="LK11" s="256"/>
      <c r="LL11" s="256"/>
      <c r="LM11" s="256"/>
      <c r="LN11" s="256"/>
      <c r="LO11" s="256"/>
      <c r="LP11" s="256"/>
      <c r="LQ11" s="256"/>
      <c r="LR11" s="256"/>
      <c r="LS11" s="256"/>
      <c r="LT11" s="256"/>
      <c r="LU11" s="256"/>
      <c r="LV11" s="256"/>
      <c r="LW11" s="256"/>
      <c r="LX11" s="256"/>
      <c r="LY11" s="256"/>
      <c r="LZ11" s="256"/>
      <c r="MA11" s="256"/>
      <c r="MB11" s="256"/>
      <c r="MC11" s="256"/>
      <c r="MD11" s="256"/>
      <c r="ME11" s="256"/>
      <c r="MF11" s="256"/>
      <c r="MG11" s="256"/>
      <c r="MH11" s="256"/>
      <c r="MI11" s="256"/>
      <c r="MJ11" s="256"/>
      <c r="MK11" s="256"/>
      <c r="ML11" s="256"/>
      <c r="MM11" s="256"/>
      <c r="MN11" s="256"/>
      <c r="MO11" s="256"/>
      <c r="MP11" s="256"/>
      <c r="MQ11" s="256"/>
      <c r="MR11" s="256"/>
      <c r="MS11" s="256"/>
      <c r="MT11" s="256"/>
      <c r="MU11" s="256"/>
      <c r="MV11" s="256"/>
      <c r="MW11" s="256"/>
      <c r="MX11" s="256"/>
      <c r="MY11" s="256"/>
      <c r="MZ11" s="256"/>
      <c r="NA11" s="256"/>
      <c r="NB11" s="256"/>
      <c r="NC11" s="256"/>
      <c r="ND11" s="256"/>
    </row>
    <row r="12" spans="1:368" s="255" customFormat="1" ht="14.4" x14ac:dyDescent="0.3">
      <c r="A12" s="254"/>
      <c r="B12" s="257"/>
      <c r="E12" s="255" t="s">
        <v>45</v>
      </c>
      <c r="F12" s="255" t="s">
        <v>407</v>
      </c>
      <c r="G12" s="255" t="s">
        <v>9</v>
      </c>
      <c r="H12" s="255" t="s">
        <v>413</v>
      </c>
      <c r="K12" s="255">
        <f t="shared" si="6"/>
        <v>11</v>
      </c>
      <c r="M12" s="260">
        <v>4.6879234034865866E-2</v>
      </c>
      <c r="N12" s="260">
        <v>5.5495855081363218E-2</v>
      </c>
      <c r="O12" s="260">
        <v>4.3994549347868409E-2</v>
      </c>
      <c r="P12" s="260">
        <v>2.3552185836425231E-2</v>
      </c>
      <c r="Q12" s="260">
        <v>6.6587112171837715E-2</v>
      </c>
      <c r="R12" s="260">
        <v>7.322929171668667E-2</v>
      </c>
      <c r="S12" s="260">
        <v>0.17837320200125079</v>
      </c>
      <c r="T12" s="260">
        <v>0.14761396011396011</v>
      </c>
      <c r="U12" s="260">
        <v>0.13280591093213595</v>
      </c>
      <c r="V12" s="260">
        <v>0.11676573068251692</v>
      </c>
      <c r="W12" s="260">
        <v>6.4338235294117641E-2</v>
      </c>
      <c r="X12" s="260">
        <v>4.7347794385709074E-2</v>
      </c>
      <c r="Y12" s="260">
        <v>8.1632653061224497E-3</v>
      </c>
      <c r="Z12" s="260">
        <v>0.12626799922084539</v>
      </c>
      <c r="AA12" s="260">
        <v>0.14434147711317047</v>
      </c>
      <c r="AB12" s="260">
        <v>0.29732656278983494</v>
      </c>
      <c r="AC12" s="260">
        <v>0.15664108126147172</v>
      </c>
      <c r="AD12" s="260">
        <v>5.7280054879094496E-2</v>
      </c>
      <c r="AE12" s="260">
        <v>0.17206527701590785</v>
      </c>
      <c r="AF12" s="260">
        <v>0.1172378581913332</v>
      </c>
      <c r="AG12" s="260">
        <v>7.8891257995735611E-2</v>
      </c>
      <c r="AH12" s="260" t="s">
        <v>1158</v>
      </c>
      <c r="AI12" s="260">
        <v>0.1488776506077544</v>
      </c>
      <c r="AJ12" s="260">
        <v>0.10561901347129027</v>
      </c>
      <c r="AK12" s="260">
        <v>5.2791135270750578E-2</v>
      </c>
      <c r="AL12" s="260">
        <v>0.12116402116402117</v>
      </c>
      <c r="AM12" s="260">
        <v>8.1814890792808015E-2</v>
      </c>
      <c r="AN12" s="260">
        <v>7.0560332048621402E-2</v>
      </c>
      <c r="AO12" s="260">
        <v>6.9908814589665649E-2</v>
      </c>
      <c r="AP12" s="260">
        <v>5.6951305575158789E-2</v>
      </c>
      <c r="AQ12" s="260">
        <v>4.9792531120331947E-2</v>
      </c>
      <c r="AR12" s="260">
        <v>6.484848484848485E-2</v>
      </c>
      <c r="AS12" s="260">
        <v>0.12269672664209842</v>
      </c>
      <c r="AT12" s="260">
        <v>0.11678319445774671</v>
      </c>
      <c r="AU12" s="260">
        <v>4.8685728161233531E-2</v>
      </c>
      <c r="AV12" s="260">
        <v>7.8112981796427658E-2</v>
      </c>
      <c r="AW12" s="260">
        <v>7.3103671356946467E-2</v>
      </c>
      <c r="AX12" s="260">
        <v>8.1959664794179946E-2</v>
      </c>
      <c r="AY12" s="260">
        <v>0.1441334435034084</v>
      </c>
      <c r="AZ12" s="260">
        <v>8.7090796788140828E-2</v>
      </c>
      <c r="BA12" s="260">
        <v>4.7775947281713346E-2</v>
      </c>
      <c r="BB12" s="260">
        <v>7.139491046182847E-2</v>
      </c>
      <c r="BC12" s="260">
        <v>0.1442410048967426</v>
      </c>
      <c r="BD12" s="260">
        <v>6.1885361056476539E-2</v>
      </c>
      <c r="BE12" s="260">
        <v>7.1923743500866555E-2</v>
      </c>
      <c r="BF12" s="260">
        <v>4.1253828139074043E-2</v>
      </c>
      <c r="BG12" s="260">
        <v>0.11029633350075339</v>
      </c>
      <c r="BH12" s="260">
        <v>4.3174880069777585E-2</v>
      </c>
      <c r="BI12" s="260">
        <v>6.8305084745762717E-2</v>
      </c>
      <c r="BJ12" s="260">
        <v>0.10062794348508634</v>
      </c>
      <c r="BK12" s="260">
        <v>0.16706087243030796</v>
      </c>
      <c r="BL12" s="260">
        <v>5.4307828955716279E-2</v>
      </c>
      <c r="BM12" s="260">
        <v>3.6278275714895433E-2</v>
      </c>
      <c r="BN12" s="260">
        <v>3.0947985666196113E-2</v>
      </c>
      <c r="BO12" s="260">
        <v>0.13345021037868163</v>
      </c>
      <c r="BP12" s="260">
        <v>6.1941040079496523E-2</v>
      </c>
      <c r="BQ12" s="260">
        <v>2.5817555938037865E-2</v>
      </c>
      <c r="BR12" s="260">
        <v>3.9382999671808333E-2</v>
      </c>
      <c r="BS12" s="260">
        <v>0.15774198692393557</v>
      </c>
      <c r="BT12" s="260">
        <v>9.1975895972090077E-2</v>
      </c>
      <c r="BU12" s="260">
        <v>4.8122065727699531E-2</v>
      </c>
      <c r="BV12" s="260">
        <v>5.5591890124264222E-2</v>
      </c>
      <c r="BW12" s="260">
        <v>9.4085027726432527E-2</v>
      </c>
      <c r="BX12" s="260">
        <v>7.3442136498516317E-2</v>
      </c>
      <c r="BY12" s="260">
        <v>5.2843347639484978E-2</v>
      </c>
      <c r="BZ12" s="260">
        <v>2.9552313883299798E-2</v>
      </c>
      <c r="CA12" s="260">
        <v>0.20636597084161695</v>
      </c>
      <c r="CB12" s="260">
        <v>5.155238253362112E-2</v>
      </c>
      <c r="CC12" s="260">
        <v>5.2325117651750817E-2</v>
      </c>
      <c r="CD12" s="260">
        <v>0.16953589493300203</v>
      </c>
      <c r="CE12" s="260">
        <v>0.17990353697749195</v>
      </c>
      <c r="CF12" s="260">
        <v>4.701273261508325E-2</v>
      </c>
      <c r="CG12" s="260">
        <v>7.6481481481481484E-2</v>
      </c>
      <c r="CH12" s="260">
        <v>8.5024078313728588E-2</v>
      </c>
      <c r="CI12" s="260">
        <v>5.0194446956679024E-2</v>
      </c>
      <c r="CJ12" s="260">
        <v>0.17553362078181234</v>
      </c>
      <c r="CK12" s="260">
        <v>8.3385345150418178E-2</v>
      </c>
      <c r="CL12" s="260">
        <v>5.6821157371039537E-2</v>
      </c>
      <c r="CM12" s="260">
        <v>5.8968680797216073E-2</v>
      </c>
      <c r="CN12" s="260">
        <v>4.4519688989214948E-2</v>
      </c>
      <c r="CO12" s="260">
        <v>9.379178605539637E-2</v>
      </c>
      <c r="CP12" s="260">
        <v>9.7790055248618779E-2</v>
      </c>
      <c r="CQ12" s="260">
        <v>0.13049872977670812</v>
      </c>
      <c r="CR12" s="260">
        <v>7.5945109646172473E-2</v>
      </c>
      <c r="CS12" s="260">
        <v>5.4904203603088363E-2</v>
      </c>
      <c r="CT12" s="260">
        <v>5.0609914352452635E-2</v>
      </c>
      <c r="CU12" s="260">
        <v>6.7604830274793193E-2</v>
      </c>
      <c r="CV12" s="260">
        <v>0.23137309941520467</v>
      </c>
      <c r="CW12" s="260">
        <v>4.5042090302831531E-2</v>
      </c>
      <c r="CX12" s="260">
        <v>7.38449681580335E-2</v>
      </c>
      <c r="CY12" s="260">
        <v>0.1447040145157632</v>
      </c>
      <c r="CZ12" s="260">
        <v>0.21354421360010059</v>
      </c>
      <c r="DA12" s="260">
        <v>6.3082072176949944E-2</v>
      </c>
      <c r="DB12" s="260">
        <v>5.9042396945070005E-2</v>
      </c>
      <c r="DC12" s="260">
        <v>8.2212569993196927E-2</v>
      </c>
      <c r="DD12" s="260">
        <v>7.2373679069354407E-2</v>
      </c>
      <c r="DE12" s="260">
        <v>4.8034486297854867E-2</v>
      </c>
      <c r="DF12" s="260">
        <v>0.11516109010889804</v>
      </c>
      <c r="DG12" s="260">
        <v>4.792938459000165E-2</v>
      </c>
      <c r="DH12" s="260">
        <v>4.8271838996645763E-2</v>
      </c>
      <c r="DI12" s="260">
        <v>5.6745959687670239E-2</v>
      </c>
      <c r="DJ12" s="260">
        <v>5.2634058995382149E-2</v>
      </c>
      <c r="DK12" s="260">
        <v>7.8739280543490373E-2</v>
      </c>
      <c r="DL12" s="260">
        <v>5.7473519027069438E-2</v>
      </c>
      <c r="DM12" s="260">
        <v>0.11870874193917656</v>
      </c>
      <c r="DN12" s="260">
        <v>6.4637197664720605E-2</v>
      </c>
      <c r="DO12" s="260">
        <v>0.13679544015199493</v>
      </c>
      <c r="DP12" s="260">
        <v>7.6271186440677971E-2</v>
      </c>
      <c r="DQ12" s="260">
        <v>0.20007149712651495</v>
      </c>
      <c r="DR12" s="260">
        <v>0.28222915944039773</v>
      </c>
      <c r="DS12" s="260">
        <v>6.9271175311884439E-2</v>
      </c>
      <c r="DT12" s="260">
        <v>7.8627514251909211E-2</v>
      </c>
      <c r="DU12" s="260">
        <v>7.381150959132611E-2</v>
      </c>
      <c r="DV12" s="260">
        <v>0.23603502791042641</v>
      </c>
      <c r="DW12" s="260">
        <v>0.11837121212121213</v>
      </c>
      <c r="DX12" s="260">
        <v>5.2611714975845408E-2</v>
      </c>
      <c r="DY12" s="260">
        <v>5.2918852074538399E-2</v>
      </c>
      <c r="DZ12" s="260">
        <v>5.9914999481704159E-2</v>
      </c>
      <c r="EA12" s="260">
        <v>3.4546413502109706E-2</v>
      </c>
      <c r="EB12" s="260">
        <v>0.12566257272139625</v>
      </c>
      <c r="EC12" s="260">
        <v>9.2187500000000006E-2</v>
      </c>
      <c r="ED12" s="260">
        <v>0.11209270307480496</v>
      </c>
      <c r="EE12" s="260">
        <v>0.16701851250405975</v>
      </c>
      <c r="EF12" s="260">
        <v>4.6005509641873277E-2</v>
      </c>
      <c r="EG12" s="260">
        <v>7.7459034020042145E-2</v>
      </c>
      <c r="EH12" s="260">
        <v>0.13936647751333955</v>
      </c>
      <c r="EI12" s="260">
        <v>0.16491557633079226</v>
      </c>
      <c r="EJ12" s="260">
        <v>8.6356589147286819E-2</v>
      </c>
      <c r="EK12" s="260">
        <v>0.10491265321880128</v>
      </c>
      <c r="EL12" s="260">
        <v>0.12538492192877584</v>
      </c>
      <c r="EM12" s="260">
        <v>3.9058283864004319E-2</v>
      </c>
      <c r="EN12" s="260">
        <v>8.5663938153706223E-2</v>
      </c>
      <c r="EO12" s="260">
        <v>0.12758255559112511</v>
      </c>
      <c r="EP12" s="260">
        <v>7.6745527986151182E-2</v>
      </c>
      <c r="EQ12" s="260">
        <v>0.19262252346193953</v>
      </c>
      <c r="ER12" s="260">
        <v>0.13450753839650556</v>
      </c>
      <c r="ES12" s="260">
        <v>8.9725922523350182E-2</v>
      </c>
      <c r="ET12" s="260">
        <v>9.1901484190148416E-2</v>
      </c>
      <c r="EU12" s="260">
        <v>8.141811810780171E-2</v>
      </c>
      <c r="EV12" s="260">
        <v>4.3414395299494042E-2</v>
      </c>
      <c r="EW12" s="260">
        <v>0.13062017340218884</v>
      </c>
      <c r="EX12" s="260">
        <v>6.248224129112917E-2</v>
      </c>
      <c r="EY12" s="260">
        <v>5.9796769150599269E-2</v>
      </c>
      <c r="EZ12" s="260">
        <v>5.7094986467328267E-2</v>
      </c>
      <c r="FA12" s="260">
        <v>7.3835849457792896E-2</v>
      </c>
      <c r="FB12" s="260">
        <v>7.5765501146742853E-2</v>
      </c>
      <c r="FC12" s="260">
        <v>0.14574442141202293</v>
      </c>
      <c r="FD12" s="260">
        <v>8.1019830028328618E-2</v>
      </c>
      <c r="FE12" s="260">
        <v>7.1713147410358571E-2</v>
      </c>
      <c r="FF12" s="260">
        <v>9.852829780326805E-2</v>
      </c>
      <c r="FG12" s="260">
        <v>6.1475743986954746E-2</v>
      </c>
      <c r="FH12" s="260">
        <v>6.7680822593140358E-2</v>
      </c>
      <c r="FI12" s="260">
        <v>7.641466727025803E-2</v>
      </c>
      <c r="FJ12" s="260">
        <v>0.10554685340458859</v>
      </c>
      <c r="FK12" s="260">
        <v>4.1587180465471191E-2</v>
      </c>
      <c r="FL12" s="260">
        <v>0.11157664288680029</v>
      </c>
      <c r="FM12" s="260">
        <v>0.13576498759941846</v>
      </c>
      <c r="FN12" s="260">
        <v>9.3154859070627927E-2</v>
      </c>
      <c r="FO12" s="260">
        <v>8.6867894943159552E-2</v>
      </c>
      <c r="FP12" s="260">
        <v>6.7356236916635878E-2</v>
      </c>
      <c r="FQ12" s="260">
        <v>4.8695062704779121E-2</v>
      </c>
      <c r="FR12" s="260">
        <v>6.6890756302521004E-2</v>
      </c>
      <c r="FS12" s="260">
        <v>0.10030328094844224</v>
      </c>
      <c r="FT12" s="260">
        <v>5.6107660455486541E-2</v>
      </c>
      <c r="FU12" s="260">
        <v>7.3787891653222387E-2</v>
      </c>
      <c r="FV12" s="260">
        <v>6.4959759441054213E-2</v>
      </c>
      <c r="FW12" s="260">
        <v>9.6608832807570974E-2</v>
      </c>
      <c r="FX12" s="260">
        <v>0.14157550310803496</v>
      </c>
      <c r="FY12" s="260">
        <v>0.24347826086956523</v>
      </c>
      <c r="FZ12" s="260">
        <v>0.15945142101784535</v>
      </c>
      <c r="GA12" s="260">
        <v>0.15837737843551797</v>
      </c>
      <c r="GB12" s="260">
        <v>8.5944115156646905E-2</v>
      </c>
      <c r="GC12" s="260">
        <v>8.1173305334995741E-2</v>
      </c>
      <c r="GD12" s="260">
        <v>6.8887634105025408E-2</v>
      </c>
      <c r="GE12" s="260">
        <v>5.8851776758083452E-2</v>
      </c>
      <c r="GF12" s="260">
        <v>8.0832526621490805E-2</v>
      </c>
      <c r="GG12" s="260">
        <v>9.5968578627538159E-2</v>
      </c>
      <c r="GH12" s="260">
        <v>7.8022875816993464E-2</v>
      </c>
      <c r="GI12" s="260">
        <v>4.8175699610343604E-2</v>
      </c>
      <c r="GJ12" s="260">
        <v>5.5734190782422297E-2</v>
      </c>
      <c r="GK12" s="260">
        <v>8.9145138041911515E-2</v>
      </c>
      <c r="GL12" s="260">
        <v>3.9671536738829047E-2</v>
      </c>
      <c r="GM12" s="260">
        <v>9.5997734566735882E-2</v>
      </c>
      <c r="GN12" s="260">
        <v>7.4827271542171822E-2</v>
      </c>
      <c r="GO12" s="260">
        <v>0.18496811783510647</v>
      </c>
      <c r="GP12" s="260">
        <v>9.0124271417573953E-2</v>
      </c>
      <c r="GQ12" s="260">
        <v>6.6451149425287362E-2</v>
      </c>
      <c r="GR12" s="260">
        <v>9.3682787439316656E-2</v>
      </c>
      <c r="GS12" s="260">
        <v>0.11585288522511097</v>
      </c>
      <c r="GT12" s="260">
        <v>0.13357827610963302</v>
      </c>
      <c r="GU12" s="260">
        <v>5.6609114067364845E-2</v>
      </c>
      <c r="GV12" s="260">
        <v>5.9593023255813955E-2</v>
      </c>
      <c r="GW12" s="260">
        <v>5.8989679521998913E-2</v>
      </c>
      <c r="GX12" s="260">
        <v>4.7707703048638583E-2</v>
      </c>
      <c r="GY12" s="260">
        <v>5.4885806021687772E-2</v>
      </c>
      <c r="GZ12" s="260">
        <v>3.5378930150845096E-2</v>
      </c>
      <c r="HA12" s="260">
        <v>5.4539081668419205E-2</v>
      </c>
      <c r="HB12" s="260">
        <v>5.0181263117725625E-2</v>
      </c>
      <c r="HC12" s="260">
        <v>0.10775486494336335</v>
      </c>
      <c r="HD12" s="260">
        <v>2.7444916892153073E-2</v>
      </c>
      <c r="HE12" s="260">
        <v>6.1985472154963681E-2</v>
      </c>
      <c r="HF12" s="260">
        <v>0.11060908549612973</v>
      </c>
      <c r="HG12" s="260">
        <v>5.876741079946575E-2</v>
      </c>
      <c r="HH12" s="260">
        <v>5.874730021598272E-2</v>
      </c>
      <c r="HI12" s="260">
        <v>0.19847915571342473</v>
      </c>
      <c r="HJ12" s="260">
        <v>9.6982369188672909E-2</v>
      </c>
      <c r="HK12" s="260">
        <v>3.1869688385269122E-2</v>
      </c>
      <c r="HL12" s="260">
        <v>0.11092985318107668</v>
      </c>
      <c r="HM12" s="260">
        <v>5.1381692573402415E-2</v>
      </c>
      <c r="HN12" s="260">
        <v>4.5404319437468608E-2</v>
      </c>
      <c r="HO12" s="260">
        <v>0.12130790190735695</v>
      </c>
      <c r="HP12" s="260">
        <v>7.9602997771926268E-2</v>
      </c>
      <c r="HQ12" s="260">
        <v>3.910667169242367E-2</v>
      </c>
      <c r="HR12" s="260">
        <v>0.20641339100996803</v>
      </c>
      <c r="HS12" s="260">
        <v>4.5870161536117039E-2</v>
      </c>
      <c r="HT12" s="260">
        <v>9.0297965116279064E-2</v>
      </c>
      <c r="HU12" s="260">
        <v>4.8042418724224732E-2</v>
      </c>
      <c r="HV12" s="260">
        <v>3.6428110896196006E-2</v>
      </c>
      <c r="HW12" s="260">
        <v>0.12788992107285047</v>
      </c>
      <c r="HX12" s="260">
        <v>4.928989139515455E-2</v>
      </c>
      <c r="HY12" s="260">
        <v>5.6995604062452632E-2</v>
      </c>
      <c r="HZ12" s="260">
        <v>4.6716041344510462E-2</v>
      </c>
      <c r="IA12" s="260">
        <v>9.9747987968457852E-2</v>
      </c>
      <c r="IB12" s="260">
        <v>8.2460260115606934E-2</v>
      </c>
      <c r="IC12" s="260">
        <v>9.9516908212560387E-2</v>
      </c>
      <c r="ID12" s="260">
        <v>8.4451286562568728E-2</v>
      </c>
      <c r="IE12" s="260">
        <v>3.8018342870580861E-2</v>
      </c>
      <c r="IF12" s="260">
        <v>0.12096876025961563</v>
      </c>
      <c r="IG12" s="260">
        <v>5.5101502768257316E-2</v>
      </c>
      <c r="IH12" s="260">
        <v>9.2829927260131631E-2</v>
      </c>
      <c r="II12" s="260">
        <v>3.7688442211055273E-2</v>
      </c>
      <c r="IJ12" s="260">
        <v>7.4492099322799099E-2</v>
      </c>
      <c r="IK12" s="260">
        <v>0.12695059625212948</v>
      </c>
      <c r="IL12" s="260">
        <v>5.1536753535117448E-2</v>
      </c>
      <c r="IM12" s="260">
        <v>3.046657381615599E-2</v>
      </c>
      <c r="IN12" s="260">
        <v>0.11300566738323237</v>
      </c>
      <c r="IO12" s="260">
        <v>0.11287598081952921</v>
      </c>
      <c r="IP12" s="260">
        <v>3.6122817579771226E-2</v>
      </c>
      <c r="IQ12" s="260">
        <v>5.7925090309905572E-2</v>
      </c>
      <c r="IR12" s="260">
        <v>3.7729511867442903E-2</v>
      </c>
      <c r="IS12" s="260">
        <v>0.10739672038848617</v>
      </c>
      <c r="IT12" s="260">
        <v>3.5087719298245612E-2</v>
      </c>
      <c r="IU12" s="260">
        <v>3.4806961392278457E-2</v>
      </c>
      <c r="IV12" s="260">
        <v>0.11038025734588054</v>
      </c>
      <c r="IW12" s="260">
        <v>6.4377138512229121E-2</v>
      </c>
      <c r="IX12" s="260">
        <v>7.4615566595694349E-2</v>
      </c>
      <c r="IY12" s="260">
        <v>5.2297734627831716E-2</v>
      </c>
      <c r="IZ12" s="260">
        <v>0.15857821311962006</v>
      </c>
      <c r="JA12" s="260">
        <v>7.1968415115623241E-2</v>
      </c>
      <c r="JB12" s="260">
        <v>0.13440841243516002</v>
      </c>
      <c r="JC12" s="260">
        <v>7.8014588557100528E-2</v>
      </c>
      <c r="JD12" s="260">
        <v>0.11501028863800679</v>
      </c>
      <c r="JE12" s="260">
        <v>0.19822988008249104</v>
      </c>
      <c r="JF12" s="260">
        <v>9.895052473763119E-2</v>
      </c>
      <c r="JG12" s="260">
        <v>3.466428287644021E-2</v>
      </c>
      <c r="JH12" s="260">
        <v>8.7343650625397493E-2</v>
      </c>
      <c r="JI12" s="260">
        <v>9.2344119968429367E-2</v>
      </c>
      <c r="JJ12" s="260">
        <v>0.11677649059411202</v>
      </c>
      <c r="JK12" s="260">
        <v>0</v>
      </c>
      <c r="JL12" s="260">
        <v>5.2928634140223252E-2</v>
      </c>
      <c r="JM12" s="260">
        <v>6.0257960499798466E-2</v>
      </c>
      <c r="JN12" s="260">
        <v>4.2024611098212213E-2</v>
      </c>
      <c r="JO12" s="260">
        <v>8.0996884735202487E-2</v>
      </c>
      <c r="JP12" s="260">
        <v>0.16068182304253908</v>
      </c>
      <c r="JQ12" s="260">
        <v>7.3244985673352442E-2</v>
      </c>
      <c r="JR12" s="260">
        <v>6.6795985493801127E-2</v>
      </c>
      <c r="JS12" s="260">
        <v>7.311912225705329E-2</v>
      </c>
      <c r="JT12" s="260">
        <v>0.10148527147185932</v>
      </c>
      <c r="JU12" s="260">
        <v>5.7490396927016643E-2</v>
      </c>
      <c r="JV12" s="260">
        <v>8.4263233190271819E-2</v>
      </c>
      <c r="JW12" s="260">
        <v>4.757715213860314E-2</v>
      </c>
      <c r="JX12" s="260">
        <v>2.8713040505896428E-2</v>
      </c>
      <c r="JY12" s="260">
        <v>7.9956780118854667E-2</v>
      </c>
      <c r="JZ12" s="260">
        <v>7.6267080143424745E-2</v>
      </c>
      <c r="KA12" s="260">
        <v>6.6806785767902721E-2</v>
      </c>
      <c r="KB12" s="260">
        <v>8.3870420624151967E-2</v>
      </c>
      <c r="KC12" s="260">
        <v>7.7949913514326535E-2</v>
      </c>
      <c r="KD12" s="260">
        <v>4.9864538331990921E-2</v>
      </c>
      <c r="KE12" s="260">
        <v>8.1143858045845715E-2</v>
      </c>
      <c r="KF12" s="260">
        <v>8.0546396608572768E-2</v>
      </c>
      <c r="KG12" s="260" t="s">
        <v>1158</v>
      </c>
      <c r="KH12" s="260">
        <v>0.11356112186894872</v>
      </c>
      <c r="KI12" s="260">
        <v>4.8060220034742328E-2</v>
      </c>
      <c r="KJ12" s="260">
        <v>6.3817760443163188E-2</v>
      </c>
      <c r="KK12" s="260">
        <v>0.14581414901709572</v>
      </c>
      <c r="KL12" s="260">
        <v>2.0238095238095239E-2</v>
      </c>
      <c r="KM12" s="260">
        <v>3.2765774788954073E-2</v>
      </c>
      <c r="KN12" s="260">
        <v>9.8534720747504773E-2</v>
      </c>
      <c r="KO12" s="260">
        <v>3.7889039242219216E-2</v>
      </c>
      <c r="KP12" s="260">
        <v>0.11701415988404504</v>
      </c>
      <c r="KQ12" s="260">
        <v>0.14112615823235922</v>
      </c>
      <c r="KR12" s="260">
        <v>8.4375746952434064E-2</v>
      </c>
      <c r="KS12" s="260">
        <v>8.0903678827659906E-2</v>
      </c>
      <c r="KT12" s="260">
        <v>0.23569082691119567</v>
      </c>
      <c r="KU12" s="260">
        <v>9.1973578863090474E-2</v>
      </c>
      <c r="KV12" s="260">
        <v>0.20413882302220307</v>
      </c>
      <c r="KW12" s="260">
        <v>0.10857432775240994</v>
      </c>
      <c r="KX12" s="260">
        <v>7.4885969092518212E-2</v>
      </c>
      <c r="KY12" s="260">
        <v>5.5286055286055284E-2</v>
      </c>
      <c r="KZ12" s="260">
        <v>7.2458595088520844E-2</v>
      </c>
      <c r="LA12" s="260">
        <v>8.4050232374171863E-2</v>
      </c>
      <c r="LB12" s="260">
        <v>0.1040341812400636</v>
      </c>
      <c r="LC12" s="260">
        <v>9.3429225237005559E-2</v>
      </c>
      <c r="LD12" s="260">
        <v>0.14211431118280027</v>
      </c>
      <c r="LE12" s="260">
        <v>0.13759398496240602</v>
      </c>
      <c r="LF12" s="260">
        <v>3.0754275109363263E-2</v>
      </c>
      <c r="LG12" s="260">
        <v>9.330719686362364E-2</v>
      </c>
      <c r="LH12" s="260">
        <v>4.3760129659643439E-2</v>
      </c>
      <c r="LI12" s="260">
        <v>0.1213490959666203</v>
      </c>
      <c r="LJ12" s="260">
        <v>6.7467326033203809E-2</v>
      </c>
      <c r="LK12" s="260">
        <v>0.12810773480662985</v>
      </c>
      <c r="LL12" s="260">
        <v>3.4196228827101313E-2</v>
      </c>
      <c r="LM12" s="260">
        <v>0.10543072864550168</v>
      </c>
      <c r="LN12" s="260">
        <v>5.1827946630701796E-2</v>
      </c>
      <c r="LO12" s="260">
        <v>0.13319700068166326</v>
      </c>
      <c r="LP12" s="260">
        <v>8.2930830219630006E-2</v>
      </c>
      <c r="LQ12" s="260">
        <v>7.5541071279351543E-2</v>
      </c>
      <c r="LR12" s="260">
        <v>0.10974556566797317</v>
      </c>
      <c r="LS12" s="260">
        <v>0.12626943470836705</v>
      </c>
      <c r="LT12" s="260">
        <v>8.4176951879073633E-2</v>
      </c>
      <c r="LU12" s="260">
        <v>8.8311804808037311E-2</v>
      </c>
      <c r="LV12" s="260">
        <v>0.12301366818535393</v>
      </c>
      <c r="LW12" s="260">
        <v>2.8678624659505575E-2</v>
      </c>
      <c r="LX12" s="260">
        <v>1.5059853262968208E-2</v>
      </c>
      <c r="LY12" s="260">
        <v>5.2146777953229563E-2</v>
      </c>
      <c r="LZ12" s="260">
        <v>5.5769666742235317E-2</v>
      </c>
      <c r="MA12" s="260">
        <v>0.10930335749149533</v>
      </c>
      <c r="MB12" s="260">
        <v>2.8454545454545455E-2</v>
      </c>
      <c r="MC12" s="260">
        <v>6.9775283605096466E-2</v>
      </c>
      <c r="MD12" s="260">
        <v>8.2881487219209918E-2</v>
      </c>
      <c r="ME12" s="260">
        <v>8.2786287381473381E-2</v>
      </c>
      <c r="MF12" s="260">
        <v>5.0295551177019601E-2</v>
      </c>
      <c r="MG12" s="260">
        <v>6.1236517946602224E-2</v>
      </c>
      <c r="MH12" s="260">
        <v>5.9696811291165705E-2</v>
      </c>
      <c r="MI12" s="260">
        <v>3.137704576253518E-2</v>
      </c>
      <c r="MJ12" s="260">
        <v>6.4884868421052636E-2</v>
      </c>
      <c r="MK12" s="260">
        <v>6.1748860339825941E-2</v>
      </c>
      <c r="ML12" s="260">
        <v>6.698609108247662E-2</v>
      </c>
      <c r="MM12" s="260">
        <v>4.6183953033268103E-2</v>
      </c>
      <c r="MN12" s="260">
        <v>0.10028248587570622</v>
      </c>
      <c r="MO12" s="260">
        <v>7.7466251298027006E-2</v>
      </c>
      <c r="MP12" s="260">
        <v>0.14840472954209966</v>
      </c>
      <c r="MQ12" s="260">
        <v>3.5660427570300718E-2</v>
      </c>
      <c r="MR12" s="260">
        <v>0.12519978689397976</v>
      </c>
      <c r="MS12" s="260">
        <v>9.5840226896714731E-2</v>
      </c>
      <c r="MT12" s="260">
        <v>0.11116732923744127</v>
      </c>
      <c r="MU12" s="260">
        <v>7.6265547422838711E-2</v>
      </c>
      <c r="MV12" s="260">
        <v>0.14907362913129371</v>
      </c>
      <c r="MW12" s="260">
        <v>8.9815086586439677E-2</v>
      </c>
      <c r="MX12" s="260">
        <v>0.13112071987846208</v>
      </c>
      <c r="MY12" s="260">
        <v>4.6431444661533157E-2</v>
      </c>
      <c r="MZ12" s="260">
        <v>0.12767210144927535</v>
      </c>
      <c r="NA12" s="260">
        <v>4.3897954493219947E-2</v>
      </c>
      <c r="NB12" s="260">
        <v>0.12011605415860735</v>
      </c>
      <c r="NC12" s="260">
        <v>0.17696390658174097</v>
      </c>
      <c r="ND12" s="260">
        <v>0.15</v>
      </c>
    </row>
    <row r="13" spans="1:368" s="255" customFormat="1" ht="14.4" x14ac:dyDescent="0.3">
      <c r="A13" s="254"/>
      <c r="B13" s="257"/>
      <c r="E13" s="255" t="s">
        <v>46</v>
      </c>
      <c r="F13" s="255" t="s">
        <v>407</v>
      </c>
      <c r="G13" s="255" t="s">
        <v>9</v>
      </c>
      <c r="H13" s="255" t="s">
        <v>413</v>
      </c>
      <c r="K13" s="255">
        <f t="shared" si="6"/>
        <v>12</v>
      </c>
      <c r="M13" s="260">
        <v>0</v>
      </c>
      <c r="N13" s="260">
        <v>0</v>
      </c>
      <c r="O13" s="260">
        <v>0</v>
      </c>
      <c r="P13" s="260">
        <v>0</v>
      </c>
      <c r="Q13" s="260">
        <v>0</v>
      </c>
      <c r="R13" s="260">
        <v>0</v>
      </c>
      <c r="S13" s="260">
        <v>0</v>
      </c>
      <c r="T13" s="260">
        <v>0</v>
      </c>
      <c r="U13" s="260">
        <v>0</v>
      </c>
      <c r="V13" s="260">
        <v>0</v>
      </c>
      <c r="W13" s="260">
        <v>0</v>
      </c>
      <c r="X13" s="260">
        <v>0</v>
      </c>
      <c r="Y13" s="260">
        <v>0</v>
      </c>
      <c r="Z13" s="260">
        <v>0</v>
      </c>
      <c r="AA13" s="260">
        <v>0</v>
      </c>
      <c r="AB13" s="260">
        <v>0.19587043220181785</v>
      </c>
      <c r="AC13" s="260">
        <v>0</v>
      </c>
      <c r="AD13" s="260">
        <v>0</v>
      </c>
      <c r="AE13" s="260">
        <v>0</v>
      </c>
      <c r="AF13" s="260">
        <v>0</v>
      </c>
      <c r="AG13" s="260">
        <v>0</v>
      </c>
      <c r="AH13" s="260" t="s">
        <v>1158</v>
      </c>
      <c r="AI13" s="260">
        <v>0</v>
      </c>
      <c r="AJ13" s="260">
        <v>0</v>
      </c>
      <c r="AK13" s="260">
        <v>0</v>
      </c>
      <c r="AL13" s="260">
        <v>0</v>
      </c>
      <c r="AM13" s="260">
        <v>0</v>
      </c>
      <c r="AN13" s="260">
        <v>0</v>
      </c>
      <c r="AO13" s="260">
        <v>0</v>
      </c>
      <c r="AP13" s="260">
        <v>0</v>
      </c>
      <c r="AQ13" s="260">
        <v>0</v>
      </c>
      <c r="AR13" s="260">
        <v>0</v>
      </c>
      <c r="AS13" s="260">
        <v>0</v>
      </c>
      <c r="AT13" s="260">
        <v>0</v>
      </c>
      <c r="AU13" s="260">
        <v>0</v>
      </c>
      <c r="AV13" s="260">
        <v>0</v>
      </c>
      <c r="AW13" s="260">
        <v>0</v>
      </c>
      <c r="AX13" s="260">
        <v>0</v>
      </c>
      <c r="AY13" s="260">
        <v>0</v>
      </c>
      <c r="AZ13" s="260">
        <v>0</v>
      </c>
      <c r="BA13" s="260">
        <v>0</v>
      </c>
      <c r="BB13" s="260">
        <v>0</v>
      </c>
      <c r="BC13" s="260">
        <v>0</v>
      </c>
      <c r="BD13" s="260">
        <v>0</v>
      </c>
      <c r="BE13" s="260">
        <v>0</v>
      </c>
      <c r="BF13" s="260">
        <v>0</v>
      </c>
      <c r="BG13" s="260">
        <v>0</v>
      </c>
      <c r="BH13" s="260">
        <v>0</v>
      </c>
      <c r="BI13" s="260">
        <v>0</v>
      </c>
      <c r="BJ13" s="260">
        <v>0</v>
      </c>
      <c r="BK13" s="260">
        <v>0</v>
      </c>
      <c r="BL13" s="260">
        <v>0</v>
      </c>
      <c r="BM13" s="260">
        <v>0</v>
      </c>
      <c r="BN13" s="260">
        <v>0</v>
      </c>
      <c r="BO13" s="260">
        <v>0</v>
      </c>
      <c r="BP13" s="260">
        <v>0</v>
      </c>
      <c r="BQ13" s="260">
        <v>0</v>
      </c>
      <c r="BR13" s="260">
        <v>0</v>
      </c>
      <c r="BS13" s="260">
        <v>0</v>
      </c>
      <c r="BT13" s="260">
        <v>0</v>
      </c>
      <c r="BU13" s="260">
        <v>0</v>
      </c>
      <c r="BV13" s="260">
        <v>0</v>
      </c>
      <c r="BW13" s="260">
        <v>0</v>
      </c>
      <c r="BX13" s="260">
        <v>0</v>
      </c>
      <c r="BY13" s="260">
        <v>0</v>
      </c>
      <c r="BZ13" s="260">
        <v>0</v>
      </c>
      <c r="CA13" s="260">
        <v>0</v>
      </c>
      <c r="CB13" s="260">
        <v>0</v>
      </c>
      <c r="CC13" s="260">
        <v>0</v>
      </c>
      <c r="CD13" s="260">
        <v>0</v>
      </c>
      <c r="CE13" s="260">
        <v>0</v>
      </c>
      <c r="CF13" s="260">
        <v>0</v>
      </c>
      <c r="CG13" s="260">
        <v>0</v>
      </c>
      <c r="CH13" s="260">
        <v>0</v>
      </c>
      <c r="CI13" s="260">
        <v>0</v>
      </c>
      <c r="CJ13" s="260">
        <v>0</v>
      </c>
      <c r="CK13" s="260">
        <v>0</v>
      </c>
      <c r="CL13" s="260">
        <v>0</v>
      </c>
      <c r="CM13" s="260">
        <v>0</v>
      </c>
      <c r="CN13" s="260">
        <v>0</v>
      </c>
      <c r="CO13" s="260">
        <v>0</v>
      </c>
      <c r="CP13" s="260">
        <v>0</v>
      </c>
      <c r="CQ13" s="260">
        <v>0</v>
      </c>
      <c r="CR13" s="260">
        <v>0</v>
      </c>
      <c r="CS13" s="260">
        <v>0</v>
      </c>
      <c r="CT13" s="260">
        <v>0</v>
      </c>
      <c r="CU13" s="260">
        <v>0</v>
      </c>
      <c r="CV13" s="260">
        <v>0</v>
      </c>
      <c r="CW13" s="260">
        <v>0</v>
      </c>
      <c r="CX13" s="260">
        <v>0</v>
      </c>
      <c r="CY13" s="260">
        <v>0</v>
      </c>
      <c r="CZ13" s="260">
        <v>0</v>
      </c>
      <c r="DA13" s="260">
        <v>0</v>
      </c>
      <c r="DB13" s="260">
        <v>0</v>
      </c>
      <c r="DC13" s="260">
        <v>0</v>
      </c>
      <c r="DD13" s="260">
        <v>0</v>
      </c>
      <c r="DE13" s="260">
        <v>0</v>
      </c>
      <c r="DF13" s="260">
        <v>0</v>
      </c>
      <c r="DG13" s="260">
        <v>0</v>
      </c>
      <c r="DH13" s="260">
        <v>0</v>
      </c>
      <c r="DI13" s="260">
        <v>0</v>
      </c>
      <c r="DJ13" s="260">
        <v>0</v>
      </c>
      <c r="DK13" s="260">
        <v>0</v>
      </c>
      <c r="DL13" s="260">
        <v>0</v>
      </c>
      <c r="DM13" s="260">
        <v>0</v>
      </c>
      <c r="DN13" s="260">
        <v>0</v>
      </c>
      <c r="DO13" s="260">
        <v>0</v>
      </c>
      <c r="DP13" s="260">
        <v>0</v>
      </c>
      <c r="DQ13" s="260">
        <v>0</v>
      </c>
      <c r="DR13" s="260">
        <v>0</v>
      </c>
      <c r="DS13" s="260">
        <v>0</v>
      </c>
      <c r="DT13" s="260">
        <v>0</v>
      </c>
      <c r="DU13" s="260">
        <v>0</v>
      </c>
      <c r="DV13" s="260">
        <v>0.25196153696017071</v>
      </c>
      <c r="DW13" s="260">
        <v>0</v>
      </c>
      <c r="DX13" s="260">
        <v>0</v>
      </c>
      <c r="DY13" s="260">
        <v>0</v>
      </c>
      <c r="DZ13" s="260">
        <v>0</v>
      </c>
      <c r="EA13" s="260">
        <v>0</v>
      </c>
      <c r="EB13" s="260">
        <v>0</v>
      </c>
      <c r="EC13" s="260">
        <v>0</v>
      </c>
      <c r="ED13" s="260">
        <v>0</v>
      </c>
      <c r="EE13" s="260">
        <v>0</v>
      </c>
      <c r="EF13" s="260">
        <v>0</v>
      </c>
      <c r="EG13" s="260">
        <v>0</v>
      </c>
      <c r="EH13" s="260">
        <v>0</v>
      </c>
      <c r="EI13" s="260">
        <v>0</v>
      </c>
      <c r="EJ13" s="260">
        <v>0</v>
      </c>
      <c r="EK13" s="260">
        <v>0</v>
      </c>
      <c r="EL13" s="260">
        <v>0</v>
      </c>
      <c r="EM13" s="260">
        <v>0</v>
      </c>
      <c r="EN13" s="260">
        <v>0</v>
      </c>
      <c r="EO13" s="260">
        <v>0</v>
      </c>
      <c r="EP13" s="260">
        <v>0</v>
      </c>
      <c r="EQ13" s="260">
        <v>0</v>
      </c>
      <c r="ER13" s="260">
        <v>0</v>
      </c>
      <c r="ES13" s="260">
        <v>0</v>
      </c>
      <c r="ET13" s="260">
        <v>0</v>
      </c>
      <c r="EU13" s="260">
        <v>0</v>
      </c>
      <c r="EV13" s="260">
        <v>0</v>
      </c>
      <c r="EW13" s="260">
        <v>0</v>
      </c>
      <c r="EX13" s="260">
        <v>0</v>
      </c>
      <c r="EY13" s="260">
        <v>0</v>
      </c>
      <c r="EZ13" s="260">
        <v>0</v>
      </c>
      <c r="FA13" s="260">
        <v>0</v>
      </c>
      <c r="FB13" s="260">
        <v>0</v>
      </c>
      <c r="FC13" s="260">
        <v>0</v>
      </c>
      <c r="FD13" s="260">
        <v>0</v>
      </c>
      <c r="FE13" s="260">
        <v>0</v>
      </c>
      <c r="FF13" s="260">
        <v>0</v>
      </c>
      <c r="FG13" s="260">
        <v>0</v>
      </c>
      <c r="FH13" s="260">
        <v>0</v>
      </c>
      <c r="FI13" s="260">
        <v>0</v>
      </c>
      <c r="FJ13" s="260">
        <v>0</v>
      </c>
      <c r="FK13" s="260">
        <v>0</v>
      </c>
      <c r="FL13" s="260">
        <v>0</v>
      </c>
      <c r="FM13" s="260">
        <v>0</v>
      </c>
      <c r="FN13" s="260">
        <v>0</v>
      </c>
      <c r="FO13" s="260">
        <v>0</v>
      </c>
      <c r="FP13" s="260">
        <v>0</v>
      </c>
      <c r="FQ13" s="260">
        <v>0</v>
      </c>
      <c r="FR13" s="260">
        <v>0</v>
      </c>
      <c r="FS13" s="260">
        <v>0</v>
      </c>
      <c r="FT13" s="260">
        <v>0</v>
      </c>
      <c r="FU13" s="260">
        <v>0</v>
      </c>
      <c r="FV13" s="260">
        <v>0</v>
      </c>
      <c r="FW13" s="260">
        <v>0</v>
      </c>
      <c r="FX13" s="260">
        <v>0</v>
      </c>
      <c r="FY13" s="260">
        <v>0</v>
      </c>
      <c r="FZ13" s="260">
        <v>0</v>
      </c>
      <c r="GA13" s="260">
        <v>0</v>
      </c>
      <c r="GB13" s="260">
        <v>0</v>
      </c>
      <c r="GC13" s="260">
        <v>0</v>
      </c>
      <c r="GD13" s="260">
        <v>0</v>
      </c>
      <c r="GE13" s="260">
        <v>0</v>
      </c>
      <c r="GF13" s="260">
        <v>0</v>
      </c>
      <c r="GG13" s="260">
        <v>0</v>
      </c>
      <c r="GH13" s="260">
        <v>0</v>
      </c>
      <c r="GI13" s="260">
        <v>0</v>
      </c>
      <c r="GJ13" s="260">
        <v>0</v>
      </c>
      <c r="GK13" s="260">
        <v>0</v>
      </c>
      <c r="GL13" s="260">
        <v>0</v>
      </c>
      <c r="GM13" s="260">
        <v>0</v>
      </c>
      <c r="GN13" s="260">
        <v>0</v>
      </c>
      <c r="GO13" s="260">
        <v>0</v>
      </c>
      <c r="GP13" s="260">
        <v>0</v>
      </c>
      <c r="GQ13" s="260">
        <v>0</v>
      </c>
      <c r="GR13" s="260">
        <v>0</v>
      </c>
      <c r="GS13" s="260">
        <v>0</v>
      </c>
      <c r="GT13" s="260">
        <v>0</v>
      </c>
      <c r="GU13" s="260">
        <v>0</v>
      </c>
      <c r="GV13" s="260">
        <v>0</v>
      </c>
      <c r="GW13" s="260">
        <v>0</v>
      </c>
      <c r="GX13" s="260">
        <v>0</v>
      </c>
      <c r="GY13" s="260">
        <v>0</v>
      </c>
      <c r="GZ13" s="260">
        <v>0</v>
      </c>
      <c r="HA13" s="260">
        <v>0</v>
      </c>
      <c r="HB13" s="260">
        <v>0</v>
      </c>
      <c r="HC13" s="260">
        <v>0</v>
      </c>
      <c r="HD13" s="260">
        <v>0</v>
      </c>
      <c r="HE13" s="260">
        <v>0</v>
      </c>
      <c r="HF13" s="260">
        <v>0</v>
      </c>
      <c r="HG13" s="260">
        <v>0</v>
      </c>
      <c r="HH13" s="260">
        <v>0</v>
      </c>
      <c r="HI13" s="260">
        <v>0</v>
      </c>
      <c r="HJ13" s="260">
        <v>0</v>
      </c>
      <c r="HK13" s="260">
        <v>0</v>
      </c>
      <c r="HL13" s="260">
        <v>0</v>
      </c>
      <c r="HM13" s="260">
        <v>0</v>
      </c>
      <c r="HN13" s="260">
        <v>0</v>
      </c>
      <c r="HO13" s="260">
        <v>0</v>
      </c>
      <c r="HP13" s="260">
        <v>0</v>
      </c>
      <c r="HQ13" s="260">
        <v>0</v>
      </c>
      <c r="HR13" s="260">
        <v>0</v>
      </c>
      <c r="HS13" s="260">
        <v>0</v>
      </c>
      <c r="HT13" s="260">
        <v>0</v>
      </c>
      <c r="HU13" s="260">
        <v>0</v>
      </c>
      <c r="HV13" s="260">
        <v>0</v>
      </c>
      <c r="HW13" s="260">
        <v>0</v>
      </c>
      <c r="HX13" s="260">
        <v>0</v>
      </c>
      <c r="HY13" s="260">
        <v>0</v>
      </c>
      <c r="HZ13" s="260">
        <v>0</v>
      </c>
      <c r="IA13" s="260">
        <v>0</v>
      </c>
      <c r="IB13" s="260">
        <v>0</v>
      </c>
      <c r="IC13" s="260">
        <v>0</v>
      </c>
      <c r="ID13" s="260">
        <v>0</v>
      </c>
      <c r="IE13" s="260">
        <v>0</v>
      </c>
      <c r="IF13" s="260">
        <v>0</v>
      </c>
      <c r="IG13" s="260">
        <v>0</v>
      </c>
      <c r="IH13" s="260">
        <v>0</v>
      </c>
      <c r="II13" s="260">
        <v>0</v>
      </c>
      <c r="IJ13" s="260">
        <v>0</v>
      </c>
      <c r="IK13" s="260">
        <v>0</v>
      </c>
      <c r="IL13" s="260">
        <v>0</v>
      </c>
      <c r="IM13" s="260">
        <v>0</v>
      </c>
      <c r="IN13" s="260">
        <v>0</v>
      </c>
      <c r="IO13" s="260">
        <v>0</v>
      </c>
      <c r="IP13" s="260">
        <v>0</v>
      </c>
      <c r="IQ13" s="260">
        <v>0</v>
      </c>
      <c r="IR13" s="260">
        <v>0</v>
      </c>
      <c r="IS13" s="260">
        <v>0</v>
      </c>
      <c r="IT13" s="260">
        <v>0</v>
      </c>
      <c r="IU13" s="260">
        <v>0</v>
      </c>
      <c r="IV13" s="260">
        <v>0</v>
      </c>
      <c r="IW13" s="260">
        <v>0</v>
      </c>
      <c r="IX13" s="260">
        <v>0</v>
      </c>
      <c r="IY13" s="260">
        <v>0</v>
      </c>
      <c r="IZ13" s="260">
        <v>0</v>
      </c>
      <c r="JA13" s="260">
        <v>0</v>
      </c>
      <c r="JB13" s="260">
        <v>0</v>
      </c>
      <c r="JC13" s="260">
        <v>0</v>
      </c>
      <c r="JD13" s="260">
        <v>0</v>
      </c>
      <c r="JE13" s="260">
        <v>0</v>
      </c>
      <c r="JF13" s="260">
        <v>0</v>
      </c>
      <c r="JG13" s="260">
        <v>0</v>
      </c>
      <c r="JH13" s="260">
        <v>0</v>
      </c>
      <c r="JI13" s="260">
        <v>0</v>
      </c>
      <c r="JJ13" s="260">
        <v>0</v>
      </c>
      <c r="JK13" s="260">
        <v>0</v>
      </c>
      <c r="JL13" s="260">
        <v>0</v>
      </c>
      <c r="JM13" s="260">
        <v>0</v>
      </c>
      <c r="JN13" s="260">
        <v>0</v>
      </c>
      <c r="JO13" s="260">
        <v>0</v>
      </c>
      <c r="JP13" s="260">
        <v>0</v>
      </c>
      <c r="JQ13" s="260">
        <v>0</v>
      </c>
      <c r="JR13" s="260">
        <v>0</v>
      </c>
      <c r="JS13" s="260">
        <v>0</v>
      </c>
      <c r="JT13" s="260">
        <v>0</v>
      </c>
      <c r="JU13" s="260">
        <v>0</v>
      </c>
      <c r="JV13" s="260">
        <v>0</v>
      </c>
      <c r="JW13" s="260">
        <v>0</v>
      </c>
      <c r="JX13" s="260">
        <v>0</v>
      </c>
      <c r="JY13" s="260">
        <v>0</v>
      </c>
      <c r="JZ13" s="260">
        <v>0</v>
      </c>
      <c r="KA13" s="260">
        <v>0</v>
      </c>
      <c r="KB13" s="260">
        <v>0</v>
      </c>
      <c r="KC13" s="260">
        <v>0</v>
      </c>
      <c r="KD13" s="260">
        <v>0</v>
      </c>
      <c r="KE13" s="260">
        <v>0</v>
      </c>
      <c r="KF13" s="260">
        <v>0</v>
      </c>
      <c r="KG13" s="260" t="s">
        <v>1158</v>
      </c>
      <c r="KH13" s="260">
        <v>0</v>
      </c>
      <c r="KI13" s="260">
        <v>0</v>
      </c>
      <c r="KJ13" s="260">
        <v>0</v>
      </c>
      <c r="KK13" s="260">
        <v>0.33643952436241342</v>
      </c>
      <c r="KL13" s="260">
        <v>0</v>
      </c>
      <c r="KM13" s="260">
        <v>0</v>
      </c>
      <c r="KN13" s="260">
        <v>0</v>
      </c>
      <c r="KO13" s="260">
        <v>0</v>
      </c>
      <c r="KP13" s="260">
        <v>0</v>
      </c>
      <c r="KQ13" s="260">
        <v>0</v>
      </c>
      <c r="KR13" s="260">
        <v>0</v>
      </c>
      <c r="KS13" s="260">
        <v>0</v>
      </c>
      <c r="KT13" s="260">
        <v>0.22277501381978995</v>
      </c>
      <c r="KU13" s="260">
        <v>0</v>
      </c>
      <c r="KV13" s="260">
        <v>0</v>
      </c>
      <c r="KW13" s="260">
        <v>0</v>
      </c>
      <c r="KX13" s="260">
        <v>0</v>
      </c>
      <c r="KY13" s="260">
        <v>0</v>
      </c>
      <c r="KZ13" s="260">
        <v>0</v>
      </c>
      <c r="LA13" s="260">
        <v>0</v>
      </c>
      <c r="LB13" s="260">
        <v>0</v>
      </c>
      <c r="LC13" s="260">
        <v>0</v>
      </c>
      <c r="LD13" s="260">
        <v>0</v>
      </c>
      <c r="LE13" s="260">
        <v>0</v>
      </c>
      <c r="LF13" s="260">
        <v>0</v>
      </c>
      <c r="LG13" s="260">
        <v>0</v>
      </c>
      <c r="LH13" s="260">
        <v>0</v>
      </c>
      <c r="LI13" s="260">
        <v>0</v>
      </c>
      <c r="LJ13" s="260">
        <v>0</v>
      </c>
      <c r="LK13" s="260">
        <v>0</v>
      </c>
      <c r="LL13" s="260">
        <v>0</v>
      </c>
      <c r="LM13" s="260">
        <v>0</v>
      </c>
      <c r="LN13" s="260">
        <v>0</v>
      </c>
      <c r="LO13" s="260">
        <v>0</v>
      </c>
      <c r="LP13" s="260">
        <v>0</v>
      </c>
      <c r="LQ13" s="260">
        <v>0</v>
      </c>
      <c r="LR13" s="260">
        <v>0</v>
      </c>
      <c r="LS13" s="260">
        <v>0</v>
      </c>
      <c r="LT13" s="260">
        <v>0</v>
      </c>
      <c r="LU13" s="260">
        <v>0</v>
      </c>
      <c r="LV13" s="260">
        <v>0</v>
      </c>
      <c r="LW13" s="260">
        <v>0</v>
      </c>
      <c r="LX13" s="260">
        <v>0</v>
      </c>
      <c r="LY13" s="260">
        <v>0</v>
      </c>
      <c r="LZ13" s="260">
        <v>0</v>
      </c>
      <c r="MA13" s="260">
        <v>0</v>
      </c>
      <c r="MB13" s="260">
        <v>0</v>
      </c>
      <c r="MC13" s="260">
        <v>0</v>
      </c>
      <c r="MD13" s="260">
        <v>0</v>
      </c>
      <c r="ME13" s="260">
        <v>0</v>
      </c>
      <c r="MF13" s="260">
        <v>0</v>
      </c>
      <c r="MG13" s="260">
        <v>0</v>
      </c>
      <c r="MH13" s="260">
        <v>0</v>
      </c>
      <c r="MI13" s="260">
        <v>0</v>
      </c>
      <c r="MJ13" s="260">
        <v>0</v>
      </c>
      <c r="MK13" s="260">
        <v>0</v>
      </c>
      <c r="ML13" s="260">
        <v>0</v>
      </c>
      <c r="MM13" s="260">
        <v>0</v>
      </c>
      <c r="MN13" s="260">
        <v>0</v>
      </c>
      <c r="MO13" s="260">
        <v>0</v>
      </c>
      <c r="MP13" s="260">
        <v>0</v>
      </c>
      <c r="MQ13" s="260">
        <v>0</v>
      </c>
      <c r="MR13" s="260">
        <v>0</v>
      </c>
      <c r="MS13" s="260">
        <v>0</v>
      </c>
      <c r="MT13" s="260">
        <v>0</v>
      </c>
      <c r="MU13" s="260">
        <v>0</v>
      </c>
      <c r="MV13" s="260">
        <v>0</v>
      </c>
      <c r="MW13" s="260">
        <v>0</v>
      </c>
      <c r="MX13" s="260">
        <v>0</v>
      </c>
      <c r="MY13" s="260">
        <v>0</v>
      </c>
      <c r="MZ13" s="260">
        <v>0</v>
      </c>
      <c r="NA13" s="260">
        <v>0</v>
      </c>
      <c r="NB13" s="260">
        <v>0</v>
      </c>
      <c r="NC13" s="260">
        <v>0</v>
      </c>
      <c r="ND13" s="260">
        <v>0</v>
      </c>
    </row>
    <row r="14" spans="1:368" s="255" customFormat="1" ht="14.4" x14ac:dyDescent="0.3">
      <c r="A14" s="254"/>
      <c r="B14" s="257"/>
      <c r="E14" s="255" t="s">
        <v>47</v>
      </c>
      <c r="F14" s="255" t="s">
        <v>407</v>
      </c>
      <c r="G14" s="255" t="s">
        <v>9</v>
      </c>
      <c r="H14" s="255" t="s">
        <v>413</v>
      </c>
      <c r="K14" s="255">
        <f t="shared" si="6"/>
        <v>13</v>
      </c>
      <c r="M14" s="260">
        <v>8.6351729744377201E-2</v>
      </c>
      <c r="N14" s="260">
        <v>0.1789223211544366</v>
      </c>
      <c r="O14" s="260">
        <v>0.13139964960093439</v>
      </c>
      <c r="P14" s="260">
        <v>7.5092756896273594E-2</v>
      </c>
      <c r="Q14" s="260">
        <v>0.13424821002386636</v>
      </c>
      <c r="R14" s="260">
        <v>0.10074029611844738</v>
      </c>
      <c r="S14" s="260">
        <v>0.13492808005003126</v>
      </c>
      <c r="T14" s="260">
        <v>0.13149928774928774</v>
      </c>
      <c r="U14" s="260">
        <v>0.12375420215482937</v>
      </c>
      <c r="V14" s="260">
        <v>0.15236728837876615</v>
      </c>
      <c r="W14" s="260">
        <v>7.720588235294118E-2</v>
      </c>
      <c r="X14" s="260">
        <v>9.073095151294204E-2</v>
      </c>
      <c r="Y14" s="260">
        <v>1.574344023323615E-2</v>
      </c>
      <c r="Z14" s="260">
        <v>0.25412427516144981</v>
      </c>
      <c r="AA14" s="260">
        <v>0.24211789333946032</v>
      </c>
      <c r="AB14" s="260">
        <v>0.5068030050083473</v>
      </c>
      <c r="AC14" s="260">
        <v>0.14030257522665332</v>
      </c>
      <c r="AD14" s="260">
        <v>0.11490310409878236</v>
      </c>
      <c r="AE14" s="260">
        <v>0.21897970378496984</v>
      </c>
      <c r="AF14" s="260">
        <v>0.1816963430978365</v>
      </c>
      <c r="AG14" s="260">
        <v>0.1000609198903442</v>
      </c>
      <c r="AH14" s="260" t="s">
        <v>1158</v>
      </c>
      <c r="AI14" s="260">
        <v>0.15384615384615385</v>
      </c>
      <c r="AJ14" s="260">
        <v>0.17010705321927982</v>
      </c>
      <c r="AK14" s="260">
        <v>0.13307547564290195</v>
      </c>
      <c r="AL14" s="260">
        <v>0.16600529100529102</v>
      </c>
      <c r="AM14" s="260">
        <v>0.13050561119826234</v>
      </c>
      <c r="AN14" s="260">
        <v>9.6649866587607478E-2</v>
      </c>
      <c r="AO14" s="260">
        <v>9.2367443431273219E-2</v>
      </c>
      <c r="AP14" s="260">
        <v>0.15384615384615385</v>
      </c>
      <c r="AQ14" s="260">
        <v>0.10467139606478383</v>
      </c>
      <c r="AR14" s="260">
        <v>8.1414141414141411E-2</v>
      </c>
      <c r="AS14" s="260">
        <v>0.16988221692318808</v>
      </c>
      <c r="AT14" s="260">
        <v>0.12122082814545222</v>
      </c>
      <c r="AU14" s="260">
        <v>0.10829842773022522</v>
      </c>
      <c r="AV14" s="260">
        <v>7.87966840440988E-2</v>
      </c>
      <c r="AW14" s="260">
        <v>0.18300177907164808</v>
      </c>
      <c r="AX14" s="260">
        <v>0.10848144396353256</v>
      </c>
      <c r="AY14" s="260">
        <v>0.1344247056393307</v>
      </c>
      <c r="AZ14" s="260">
        <v>0.25674284537780523</v>
      </c>
      <c r="BA14" s="260">
        <v>7.9195104730524823E-2</v>
      </c>
      <c r="BB14" s="260">
        <v>0.18873704052780396</v>
      </c>
      <c r="BC14" s="260">
        <v>0.2388758782201405</v>
      </c>
      <c r="BD14" s="260">
        <v>0.15278168024726047</v>
      </c>
      <c r="BE14" s="260">
        <v>7.0479491623339108E-2</v>
      </c>
      <c r="BF14" s="260">
        <v>6.1700594487479735E-2</v>
      </c>
      <c r="BG14" s="260">
        <v>0.19116022099447513</v>
      </c>
      <c r="BH14" s="260">
        <v>6.3126907980811164E-2</v>
      </c>
      <c r="BI14" s="260">
        <v>0.1352542372881356</v>
      </c>
      <c r="BJ14" s="260">
        <v>0.17967032967032967</v>
      </c>
      <c r="BK14" s="260">
        <v>0.18088749249832314</v>
      </c>
      <c r="BL14" s="260">
        <v>0.13145539906103287</v>
      </c>
      <c r="BM14" s="260">
        <v>0.11054204011950491</v>
      </c>
      <c r="BN14" s="260">
        <v>7.1669019437506781E-2</v>
      </c>
      <c r="BO14" s="260">
        <v>0.11009817671809256</v>
      </c>
      <c r="BP14" s="260">
        <v>0.24643921828420007</v>
      </c>
      <c r="BQ14" s="260">
        <v>0.10142611261372018</v>
      </c>
      <c r="BR14" s="260">
        <v>8.2485504868176351E-2</v>
      </c>
      <c r="BS14" s="260">
        <v>9.733694785520651E-2</v>
      </c>
      <c r="BT14" s="260">
        <v>0.21921979067554709</v>
      </c>
      <c r="BU14" s="260">
        <v>8.1637976004173191E-2</v>
      </c>
      <c r="BV14" s="260">
        <v>5.9734030957052542E-2</v>
      </c>
      <c r="BW14" s="260">
        <v>0.11210720887245841</v>
      </c>
      <c r="BX14" s="260">
        <v>0.24620837454665348</v>
      </c>
      <c r="BY14" s="260">
        <v>9.2274678111587988E-2</v>
      </c>
      <c r="BZ14" s="260">
        <v>5.973340040241449E-2</v>
      </c>
      <c r="CA14" s="260">
        <v>0.26954937044400268</v>
      </c>
      <c r="CB14" s="260">
        <v>7.396646189606508E-2</v>
      </c>
      <c r="CC14" s="260">
        <v>0.14955731036133046</v>
      </c>
      <c r="CD14" s="260">
        <v>0.19697843641849322</v>
      </c>
      <c r="CE14" s="260">
        <v>0.22379421221864951</v>
      </c>
      <c r="CF14" s="260">
        <v>8.1401675916857111E-2</v>
      </c>
      <c r="CG14" s="260">
        <v>0.21833333333333332</v>
      </c>
      <c r="CH14" s="260">
        <v>0.14746980342622562</v>
      </c>
      <c r="CI14" s="260">
        <v>0.11739169756715204</v>
      </c>
      <c r="CJ14" s="260">
        <v>0.16589459430566939</v>
      </c>
      <c r="CK14" s="260">
        <v>9.3371614030707775E-2</v>
      </c>
      <c r="CL14" s="260">
        <v>0.16278257833638823</v>
      </c>
      <c r="CM14" s="260">
        <v>0.18304334071496361</v>
      </c>
      <c r="CN14" s="260">
        <v>0.13694507148231752</v>
      </c>
      <c r="CO14" s="260">
        <v>0.14212034383954156</v>
      </c>
      <c r="CP14" s="260">
        <v>9.4475138121546967E-2</v>
      </c>
      <c r="CQ14" s="260">
        <v>5.5689263270490709E-2</v>
      </c>
      <c r="CR14" s="260">
        <v>0.21449392349432711</v>
      </c>
      <c r="CS14" s="260">
        <v>0.16042321990277381</v>
      </c>
      <c r="CT14" s="260">
        <v>9.6937451336620808E-2</v>
      </c>
      <c r="CU14" s="260">
        <v>0.1117238756299325</v>
      </c>
      <c r="CV14" s="260">
        <v>0.17513918128654971</v>
      </c>
      <c r="CW14" s="260">
        <v>9.6206406472067338E-2</v>
      </c>
      <c r="CX14" s="260">
        <v>8.6358658175475597E-2</v>
      </c>
      <c r="CY14" s="260">
        <v>0.12315717849852574</v>
      </c>
      <c r="CZ14" s="260">
        <v>0.17900604976737039</v>
      </c>
      <c r="DA14" s="260">
        <v>5.9007566938300351E-2</v>
      </c>
      <c r="DB14" s="260">
        <v>0.24517771467737198</v>
      </c>
      <c r="DC14" s="260">
        <v>0.16521011041917422</v>
      </c>
      <c r="DD14" s="260">
        <v>0.10256637954000533</v>
      </c>
      <c r="DE14" s="260">
        <v>0.17304731602175921</v>
      </c>
      <c r="DF14" s="260">
        <v>0.19635501890199175</v>
      </c>
      <c r="DG14" s="260">
        <v>9.9076060056096357E-2</v>
      </c>
      <c r="DH14" s="260">
        <v>0.14496135336152838</v>
      </c>
      <c r="DI14" s="260">
        <v>0.12747412384238241</v>
      </c>
      <c r="DJ14" s="260">
        <v>7.2424842144943921E-2</v>
      </c>
      <c r="DK14" s="260">
        <v>0.1295244459293908</v>
      </c>
      <c r="DL14" s="260">
        <v>0.17497057669674382</v>
      </c>
      <c r="DM14" s="260">
        <v>0.29411989163200669</v>
      </c>
      <c r="DN14" s="260">
        <v>0.15095913261050875</v>
      </c>
      <c r="DO14" s="260">
        <v>0.23815555354504056</v>
      </c>
      <c r="DP14" s="260">
        <v>0.14775239498894621</v>
      </c>
      <c r="DQ14" s="260">
        <v>0.16577619067972785</v>
      </c>
      <c r="DR14" s="260">
        <v>0.23273477591895905</v>
      </c>
      <c r="DS14" s="260">
        <v>0.11982928430728824</v>
      </c>
      <c r="DT14" s="260">
        <v>0.10756157900397978</v>
      </c>
      <c r="DU14" s="260">
        <v>0.17639699749791493</v>
      </c>
      <c r="DV14" s="260">
        <v>0.51200343512940294</v>
      </c>
      <c r="DW14" s="260">
        <v>0.15504622496147921</v>
      </c>
      <c r="DX14" s="260">
        <v>0.11194142512077294</v>
      </c>
      <c r="DY14" s="260">
        <v>0.10037951473284722</v>
      </c>
      <c r="DZ14" s="260">
        <v>0.18855602778065719</v>
      </c>
      <c r="EA14" s="260">
        <v>6.0785864978902954E-2</v>
      </c>
      <c r="EB14" s="260">
        <v>0.1145442792501616</v>
      </c>
      <c r="EC14" s="260">
        <v>0.15292968749999999</v>
      </c>
      <c r="ED14" s="260">
        <v>0.15092932537861403</v>
      </c>
      <c r="EE14" s="260">
        <v>0.23611562195518027</v>
      </c>
      <c r="EF14" s="260">
        <v>0.10895316804407713</v>
      </c>
      <c r="EG14" s="260">
        <v>0.15711152208507162</v>
      </c>
      <c r="EH14" s="260">
        <v>0.14025578046921316</v>
      </c>
      <c r="EI14" s="260">
        <v>0.13822328040016602</v>
      </c>
      <c r="EJ14" s="260">
        <v>0.10883720930232559</v>
      </c>
      <c r="EK14" s="260">
        <v>0.17922980407296593</v>
      </c>
      <c r="EL14" s="260">
        <v>0.11531355287468753</v>
      </c>
      <c r="EM14" s="260">
        <v>0.10483000539665407</v>
      </c>
      <c r="EN14" s="260">
        <v>0.11533651659845384</v>
      </c>
      <c r="EO14" s="260">
        <v>0.11142850107119112</v>
      </c>
      <c r="EP14" s="260">
        <v>0.1429395762921441</v>
      </c>
      <c r="EQ14" s="260">
        <v>0.18044838373305527</v>
      </c>
      <c r="ER14" s="260">
        <v>0.20271945892630688</v>
      </c>
      <c r="ES14" s="260">
        <v>0.18894503138876129</v>
      </c>
      <c r="ET14" s="260">
        <v>0.14583781458378145</v>
      </c>
      <c r="EU14" s="260">
        <v>0.1543852416778316</v>
      </c>
      <c r="EV14" s="260">
        <v>0.11620695283172841</v>
      </c>
      <c r="EW14" s="260">
        <v>0.26041123797792204</v>
      </c>
      <c r="EX14" s="260">
        <v>0.13314769562993692</v>
      </c>
      <c r="EY14" s="260">
        <v>0.10135487232933819</v>
      </c>
      <c r="EZ14" s="260">
        <v>0.10740215663530524</v>
      </c>
      <c r="FA14" s="260">
        <v>6.7829045290240267E-2</v>
      </c>
      <c r="FB14" s="260">
        <v>0.15865287892809721</v>
      </c>
      <c r="FC14" s="260">
        <v>0.15040848676990612</v>
      </c>
      <c r="FD14" s="260">
        <v>0.10412338684293358</v>
      </c>
      <c r="FE14" s="260">
        <v>0.26329250897643991</v>
      </c>
      <c r="FF14" s="260">
        <v>0.19808462287631209</v>
      </c>
      <c r="FG14" s="260">
        <v>4.7125968202201385E-2</v>
      </c>
      <c r="FH14" s="260">
        <v>0.23170645820128177</v>
      </c>
      <c r="FI14" s="260">
        <v>0.19511090991398822</v>
      </c>
      <c r="FJ14" s="260">
        <v>0.16640560213765779</v>
      </c>
      <c r="FK14" s="260">
        <v>9.8435711560473108E-2</v>
      </c>
      <c r="FL14" s="260">
        <v>0.13305401426791982</v>
      </c>
      <c r="FM14" s="260">
        <v>0.12357820918498247</v>
      </c>
      <c r="FN14" s="260">
        <v>4.9406899553814346E-2</v>
      </c>
      <c r="FO14" s="260">
        <v>9.7451979615836931E-2</v>
      </c>
      <c r="FP14" s="260">
        <v>0.11714485079834175</v>
      </c>
      <c r="FQ14" s="260">
        <v>9.411365947350582E-2</v>
      </c>
      <c r="FR14" s="260">
        <v>6.7058823529411768E-2</v>
      </c>
      <c r="FS14" s="260">
        <v>0.12633030052384892</v>
      </c>
      <c r="FT14" s="260">
        <v>0.18343685300207038</v>
      </c>
      <c r="FU14" s="260">
        <v>0.13033879595822365</v>
      </c>
      <c r="FV14" s="260">
        <v>0.14924383125497478</v>
      </c>
      <c r="FW14" s="260">
        <v>0.2040615141955836</v>
      </c>
      <c r="FX14" s="260">
        <v>0.17401715569697068</v>
      </c>
      <c r="FY14" s="260">
        <v>0.20973084886128365</v>
      </c>
      <c r="FZ14" s="260">
        <v>0.18241903502974224</v>
      </c>
      <c r="GA14" s="260">
        <v>0.21514270613107822</v>
      </c>
      <c r="GB14" s="260">
        <v>0.12728317406556186</v>
      </c>
      <c r="GC14" s="260">
        <v>8.3207559551151652E-2</v>
      </c>
      <c r="GD14" s="260">
        <v>0.2266677421956925</v>
      </c>
      <c r="GE14" s="260">
        <v>0.15425248105858499</v>
      </c>
      <c r="GF14" s="260">
        <v>0.18470474346563406</v>
      </c>
      <c r="GG14" s="260">
        <v>0.17837557432933154</v>
      </c>
      <c r="GH14" s="260">
        <v>0.12888071895424835</v>
      </c>
      <c r="GI14" s="260">
        <v>8.7141339001062704E-2</v>
      </c>
      <c r="GJ14" s="260">
        <v>9.3247588424437297E-2</v>
      </c>
      <c r="GK14" s="260">
        <v>0.10012196474110212</v>
      </c>
      <c r="GL14" s="260">
        <v>0.10461768156126693</v>
      </c>
      <c r="GM14" s="260">
        <v>5.6824617708136682E-2</v>
      </c>
      <c r="GN14" s="260">
        <v>0.13981228001564333</v>
      </c>
      <c r="GO14" s="260">
        <v>0.21233006204561469</v>
      </c>
      <c r="GP14" s="260">
        <v>6.7744418783679747E-2</v>
      </c>
      <c r="GQ14" s="260">
        <v>0.12631704980842912</v>
      </c>
      <c r="GR14" s="260">
        <v>0.13405641246236097</v>
      </c>
      <c r="GS14" s="260">
        <v>0.1341154090044388</v>
      </c>
      <c r="GT14" s="260">
        <v>0.18493179610625449</v>
      </c>
      <c r="GU14" s="260">
        <v>0.16968581941692612</v>
      </c>
      <c r="GV14" s="260">
        <v>8.6724806201550389E-2</v>
      </c>
      <c r="GW14" s="260">
        <v>0.10519645120405577</v>
      </c>
      <c r="GX14" s="260">
        <v>3.6769839422853154E-2</v>
      </c>
      <c r="GY14" s="260">
        <v>7.1060762100926878E-2</v>
      </c>
      <c r="GZ14" s="260">
        <v>7.4029199733446419E-2</v>
      </c>
      <c r="HA14" s="260">
        <v>8.2930248860848224E-2</v>
      </c>
      <c r="HB14" s="260">
        <v>0.17725624880747948</v>
      </c>
      <c r="HC14" s="260">
        <v>0.19314551263433052</v>
      </c>
      <c r="HD14" s="260">
        <v>7.3959541296224715E-2</v>
      </c>
      <c r="HE14" s="260">
        <v>9.6368038740920092E-2</v>
      </c>
      <c r="HF14" s="260">
        <v>0.1879093551889601</v>
      </c>
      <c r="HG14" s="260">
        <v>0.13213127265788971</v>
      </c>
      <c r="HH14" s="260">
        <v>0.19709966059858069</v>
      </c>
      <c r="HI14" s="260">
        <v>0.28560070784658192</v>
      </c>
      <c r="HJ14" s="260">
        <v>0.10839205968145796</v>
      </c>
      <c r="HK14" s="260">
        <v>0.10694050991501416</v>
      </c>
      <c r="HL14" s="260">
        <v>0.10358890701468189</v>
      </c>
      <c r="HM14" s="260">
        <v>0.14335060449050085</v>
      </c>
      <c r="HN14" s="260">
        <v>0.16735308890005024</v>
      </c>
      <c r="HO14" s="260">
        <v>0.17776566757493187</v>
      </c>
      <c r="HP14" s="260">
        <v>0.16629532104516914</v>
      </c>
      <c r="HQ14" s="260">
        <v>7.4538258575197885E-2</v>
      </c>
      <c r="HR14" s="260">
        <v>0.22804212902012413</v>
      </c>
      <c r="HS14" s="260">
        <v>0.11764705882352941</v>
      </c>
      <c r="HT14" s="260">
        <v>0.17332848837209303</v>
      </c>
      <c r="HU14" s="260">
        <v>7.3804295431417713E-2</v>
      </c>
      <c r="HV14" s="260">
        <v>5.2546744036105736E-2</v>
      </c>
      <c r="HW14" s="260">
        <v>0.13941468184675559</v>
      </c>
      <c r="HX14" s="260">
        <v>0.11626287942077415</v>
      </c>
      <c r="HY14" s="260">
        <v>0.11656813703198424</v>
      </c>
      <c r="HZ14" s="260">
        <v>0.10246602099780255</v>
      </c>
      <c r="IA14" s="260">
        <v>0.20555239411429965</v>
      </c>
      <c r="IB14" s="260">
        <v>0.10350433526011561</v>
      </c>
      <c r="IC14" s="260">
        <v>0.10458937198067633</v>
      </c>
      <c r="ID14" s="260">
        <v>4.1565867605014295E-2</v>
      </c>
      <c r="IE14" s="260">
        <v>0.13224112252096887</v>
      </c>
      <c r="IF14" s="260">
        <v>0.12692880773795995</v>
      </c>
      <c r="IG14" s="260">
        <v>0.11633271816504087</v>
      </c>
      <c r="IH14" s="260">
        <v>0.19916868721856598</v>
      </c>
      <c r="II14" s="260">
        <v>0.13517587939698492</v>
      </c>
      <c r="IJ14" s="260">
        <v>0.15752982908739116</v>
      </c>
      <c r="IK14" s="260">
        <v>8.6882453151618397E-2</v>
      </c>
      <c r="IL14" s="260">
        <v>6.8890966460208022E-2</v>
      </c>
      <c r="IM14" s="260">
        <v>4.5612813370473536E-2</v>
      </c>
      <c r="IN14" s="260">
        <v>0.1975767051006449</v>
      </c>
      <c r="IO14" s="260">
        <v>0.11519180470793373</v>
      </c>
      <c r="IP14" s="260">
        <v>0.18795906080674293</v>
      </c>
      <c r="IQ14" s="260">
        <v>0.11344191647125927</v>
      </c>
      <c r="IR14" s="260">
        <v>4.6686072548141513E-2</v>
      </c>
      <c r="IS14" s="260">
        <v>0.2697586037018791</v>
      </c>
      <c r="IT14" s="260">
        <v>8.1871345029239762E-2</v>
      </c>
      <c r="IU14" s="260">
        <v>6.1212242448489697E-2</v>
      </c>
      <c r="IV14" s="260">
        <v>0.1608891876320338</v>
      </c>
      <c r="IW14" s="260">
        <v>0.15536687365352933</v>
      </c>
      <c r="IX14" s="260">
        <v>0.14606103619588359</v>
      </c>
      <c r="IY14" s="260">
        <v>6.8478964401294501E-2</v>
      </c>
      <c r="IZ14" s="260">
        <v>0.17353072128227962</v>
      </c>
      <c r="JA14" s="260">
        <v>0.10005640157924423</v>
      </c>
      <c r="JB14" s="260">
        <v>0.15258124845619112</v>
      </c>
      <c r="JC14" s="260">
        <v>0.16497606564850695</v>
      </c>
      <c r="JD14" s="260">
        <v>0.12221233524275624</v>
      </c>
      <c r="JE14" s="260">
        <v>0.14587735825037554</v>
      </c>
      <c r="JF14" s="260">
        <v>0.26386806596701651</v>
      </c>
      <c r="JG14" s="260">
        <v>3.6452125546285262E-2</v>
      </c>
      <c r="JH14" s="260">
        <v>0.10817256730973077</v>
      </c>
      <c r="JI14" s="260">
        <v>9.3396474611944225E-2</v>
      </c>
      <c r="JJ14" s="260">
        <v>0.133489212456159</v>
      </c>
      <c r="JK14" s="260">
        <v>0</v>
      </c>
      <c r="JL14" s="260">
        <v>9.9335256490655957E-2</v>
      </c>
      <c r="JM14" s="260">
        <v>0.12535268037081823</v>
      </c>
      <c r="JN14" s="260">
        <v>5.1079637798931973E-2</v>
      </c>
      <c r="JO14" s="260">
        <v>0.15914552736982643</v>
      </c>
      <c r="JP14" s="260">
        <v>0.19030305622687513</v>
      </c>
      <c r="JQ14" s="260">
        <v>0.12902936962750716</v>
      </c>
      <c r="JR14" s="260">
        <v>3.8373956312726658E-2</v>
      </c>
      <c r="JS14" s="260">
        <v>0.18926332288401254</v>
      </c>
      <c r="JT14" s="260">
        <v>0.14753365456261489</v>
      </c>
      <c r="JU14" s="260">
        <v>0.13790012804097312</v>
      </c>
      <c r="JV14" s="260">
        <v>0.15021459227467812</v>
      </c>
      <c r="JW14" s="260">
        <v>0.10814834867352463</v>
      </c>
      <c r="JX14" s="260">
        <v>3.6574944453939495E-2</v>
      </c>
      <c r="JY14" s="260">
        <v>0.10837385197190708</v>
      </c>
      <c r="JZ14" s="260">
        <v>6.2893691249152048E-2</v>
      </c>
      <c r="KA14" s="260">
        <v>0.11975178902066756</v>
      </c>
      <c r="KB14" s="260">
        <v>0.15145861601085481</v>
      </c>
      <c r="KC14" s="260">
        <v>0.1825599759344213</v>
      </c>
      <c r="KD14" s="260">
        <v>0.12372165678162603</v>
      </c>
      <c r="KE14" s="260">
        <v>7.9468433478029094E-2</v>
      </c>
      <c r="KF14" s="260">
        <v>0.15120113047574188</v>
      </c>
      <c r="KG14" s="260" t="s">
        <v>1158</v>
      </c>
      <c r="KH14" s="260">
        <v>0.1845212068211631</v>
      </c>
      <c r="KI14" s="260">
        <v>7.1800810654313846E-2</v>
      </c>
      <c r="KJ14" s="260">
        <v>0.14057995590978464</v>
      </c>
      <c r="KK14" s="260">
        <v>0.5177463266204908</v>
      </c>
      <c r="KL14" s="260">
        <v>5.185185185185185E-2</v>
      </c>
      <c r="KM14" s="260">
        <v>3.7201316354271E-2</v>
      </c>
      <c r="KN14" s="260">
        <v>0.15119983011255045</v>
      </c>
      <c r="KO14" s="260">
        <v>0.12798233744035326</v>
      </c>
      <c r="KP14" s="260">
        <v>0.14087412197569404</v>
      </c>
      <c r="KQ14" s="260">
        <v>9.3727726300784034E-2</v>
      </c>
      <c r="KR14" s="260">
        <v>0.1481156879929886</v>
      </c>
      <c r="KS14" s="260">
        <v>4.3810105327430925E-2</v>
      </c>
      <c r="KT14" s="260">
        <v>0.54153415926901438</v>
      </c>
      <c r="KU14" s="260">
        <v>0.21216973578863091</v>
      </c>
      <c r="KV14" s="260">
        <v>8.8596680319034268E-2</v>
      </c>
      <c r="KW14" s="260">
        <v>0.14028411973617452</v>
      </c>
      <c r="KX14" s="260">
        <v>0.10940159302879705</v>
      </c>
      <c r="KY14" s="260">
        <v>9.347809347809348E-2</v>
      </c>
      <c r="KZ14" s="260">
        <v>0.23322387207310108</v>
      </c>
      <c r="LA14" s="260">
        <v>0.11391278552358351</v>
      </c>
      <c r="LB14" s="260">
        <v>0.13742050874403816</v>
      </c>
      <c r="LC14" s="260">
        <v>0.13478260869565217</v>
      </c>
      <c r="LD14" s="260">
        <v>0.14357875076936139</v>
      </c>
      <c r="LE14" s="260">
        <v>9.468313641245972E-2</v>
      </c>
      <c r="LF14" s="260">
        <v>8.536962573461182E-2</v>
      </c>
      <c r="LG14" s="260">
        <v>0.1527863343601232</v>
      </c>
      <c r="LH14" s="260">
        <v>3.4035656401944892E-2</v>
      </c>
      <c r="LI14" s="260">
        <v>0.14203755215577191</v>
      </c>
      <c r="LJ14" s="260">
        <v>7.8770752384316495E-2</v>
      </c>
      <c r="LK14" s="260">
        <v>0.24827348066298344</v>
      </c>
      <c r="LL14" s="260">
        <v>9.3214019388516034E-2</v>
      </c>
      <c r="LM14" s="260">
        <v>0.24042572546165741</v>
      </c>
      <c r="LN14" s="260">
        <v>9.9850681566398536E-2</v>
      </c>
      <c r="LO14" s="260">
        <v>0.17586912065439672</v>
      </c>
      <c r="LP14" s="260">
        <v>0.16062152556274492</v>
      </c>
      <c r="LQ14" s="260">
        <v>0.10746218768279435</v>
      </c>
      <c r="LR14" s="260">
        <v>0.35474656214708034</v>
      </c>
      <c r="LS14" s="260">
        <v>0.1754291363350409</v>
      </c>
      <c r="LT14" s="260">
        <v>0.21952572458743586</v>
      </c>
      <c r="LU14" s="260">
        <v>0.12047003946896304</v>
      </c>
      <c r="LV14" s="260">
        <v>0.24969441049005445</v>
      </c>
      <c r="LW14" s="260">
        <v>7.8634938582515287E-2</v>
      </c>
      <c r="LX14" s="260">
        <v>9.9369288196679104E-2</v>
      </c>
      <c r="LY14" s="260">
        <v>9.4819159335288367E-2</v>
      </c>
      <c r="LZ14" s="260">
        <v>0.11856721831784175</v>
      </c>
      <c r="MA14" s="260">
        <v>0.18473598580091702</v>
      </c>
      <c r="MB14" s="260">
        <v>5.7272727272727274E-2</v>
      </c>
      <c r="MC14" s="260">
        <v>8.8345095016739331E-2</v>
      </c>
      <c r="MD14" s="260">
        <v>7.4963421981237621E-2</v>
      </c>
      <c r="ME14" s="260">
        <v>9.6644784828592262E-2</v>
      </c>
      <c r="MF14" s="260">
        <v>8.3272840402364406E-2</v>
      </c>
      <c r="MG14" s="260">
        <v>0.1738079801968527</v>
      </c>
      <c r="MH14" s="260">
        <v>0.14960794563512808</v>
      </c>
      <c r="MI14" s="260">
        <v>0.14687793182528927</v>
      </c>
      <c r="MJ14" s="260">
        <v>0.16998355263157894</v>
      </c>
      <c r="MK14" s="260">
        <v>5.9573145462080396E-2</v>
      </c>
      <c r="ML14" s="260">
        <v>0.20277247988091363</v>
      </c>
      <c r="MM14" s="260">
        <v>5.9001956947162426E-2</v>
      </c>
      <c r="MN14" s="260">
        <v>0.11836158192090396</v>
      </c>
      <c r="MO14" s="260">
        <v>0.13146417445482866</v>
      </c>
      <c r="MP14" s="260">
        <v>0.11856009120007015</v>
      </c>
      <c r="MQ14" s="260">
        <v>0.1206422425263905</v>
      </c>
      <c r="MR14" s="260">
        <v>0.10911028236547682</v>
      </c>
      <c r="MS14" s="260">
        <v>0.17478137556133302</v>
      </c>
      <c r="MT14" s="260">
        <v>0.26552222623780269</v>
      </c>
      <c r="MU14" s="260">
        <v>0.13093105389773252</v>
      </c>
      <c r="MV14" s="260">
        <v>0.14368092263334936</v>
      </c>
      <c r="MW14" s="260">
        <v>0.15849721162312885</v>
      </c>
      <c r="MX14" s="260">
        <v>0.11131237583265163</v>
      </c>
      <c r="MY14" s="260">
        <v>0.11688311688311688</v>
      </c>
      <c r="MZ14" s="260">
        <v>0.24157608695652175</v>
      </c>
      <c r="NA14" s="260">
        <v>8.9864398988738214E-2</v>
      </c>
      <c r="NB14" s="260">
        <v>0.10701160541586073</v>
      </c>
      <c r="NC14" s="260">
        <v>0.22298301486199576</v>
      </c>
      <c r="ND14" s="260">
        <v>0.25</v>
      </c>
    </row>
    <row r="15" spans="1:368" s="255" customFormat="1" ht="14.4" x14ac:dyDescent="0.3">
      <c r="A15" s="254"/>
      <c r="B15" s="257"/>
      <c r="E15" s="255" t="s">
        <v>48</v>
      </c>
      <c r="F15" s="255" t="s">
        <v>407</v>
      </c>
      <c r="G15" s="255" t="s">
        <v>9</v>
      </c>
      <c r="H15" s="255" t="s">
        <v>413</v>
      </c>
      <c r="K15" s="255">
        <f t="shared" si="6"/>
        <v>14</v>
      </c>
      <c r="M15" s="260">
        <v>0.86676903622075696</v>
      </c>
      <c r="N15" s="260">
        <v>0.76558182376420014</v>
      </c>
      <c r="O15" s="260">
        <v>0.82460580105119718</v>
      </c>
      <c r="P15" s="260">
        <v>0.90135505726730114</v>
      </c>
      <c r="Q15" s="260">
        <v>0.7991646778042959</v>
      </c>
      <c r="R15" s="260">
        <v>0.82603041216486595</v>
      </c>
      <c r="S15" s="260">
        <v>0.68669871794871795</v>
      </c>
      <c r="T15" s="260">
        <v>0.72088675213675213</v>
      </c>
      <c r="U15" s="260">
        <v>0.74343988691303475</v>
      </c>
      <c r="V15" s="260">
        <v>0.73086698093871694</v>
      </c>
      <c r="W15" s="260">
        <v>0.85845588235294112</v>
      </c>
      <c r="X15" s="260">
        <v>0.8619212541013489</v>
      </c>
      <c r="Y15" s="260">
        <v>0.97609329446064141</v>
      </c>
      <c r="Z15" s="260">
        <v>0.61960772561770483</v>
      </c>
      <c r="AA15" s="260">
        <v>0.61354062954736921</v>
      </c>
      <c r="AB15" s="260">
        <v>0</v>
      </c>
      <c r="AC15" s="260">
        <v>0.70305634351187496</v>
      </c>
      <c r="AD15" s="260">
        <v>0.82781684102212316</v>
      </c>
      <c r="AE15" s="260">
        <v>0.60895501919912232</v>
      </c>
      <c r="AF15" s="260">
        <v>0.7010657987108303</v>
      </c>
      <c r="AG15" s="260">
        <v>0.82104782211392024</v>
      </c>
      <c r="AH15" s="260" t="s">
        <v>1158</v>
      </c>
      <c r="AI15" s="260">
        <v>0.69727619554609177</v>
      </c>
      <c r="AJ15" s="260">
        <v>0.72427393330942991</v>
      </c>
      <c r="AK15" s="260">
        <v>0.81413338908634747</v>
      </c>
      <c r="AL15" s="260">
        <v>0.71283068783068781</v>
      </c>
      <c r="AM15" s="260">
        <v>0.78767949800892967</v>
      </c>
      <c r="AN15" s="260">
        <v>0.83278980136377112</v>
      </c>
      <c r="AO15" s="260">
        <v>0.83772374197906108</v>
      </c>
      <c r="AP15" s="260">
        <v>0.78920254057868733</v>
      </c>
      <c r="AQ15" s="260">
        <v>0.84553607281488419</v>
      </c>
      <c r="AR15" s="260">
        <v>0.85373737373737368</v>
      </c>
      <c r="AS15" s="260">
        <v>0.70742105643471354</v>
      </c>
      <c r="AT15" s="260">
        <v>0.76199597739680103</v>
      </c>
      <c r="AU15" s="260">
        <v>0.84301584410854125</v>
      </c>
      <c r="AV15" s="260">
        <v>0.84309033415947354</v>
      </c>
      <c r="AW15" s="260">
        <v>0.74389454957140544</v>
      </c>
      <c r="AX15" s="260">
        <v>0.80955889124228753</v>
      </c>
      <c r="AY15" s="260">
        <v>0.72144185085726087</v>
      </c>
      <c r="AZ15" s="260">
        <v>0.65616635783405397</v>
      </c>
      <c r="BA15" s="260">
        <v>0.87302894798776187</v>
      </c>
      <c r="BB15" s="260">
        <v>0.73986804901036762</v>
      </c>
      <c r="BC15" s="260">
        <v>0.61688311688311692</v>
      </c>
      <c r="BD15" s="260">
        <v>0.78533295869626296</v>
      </c>
      <c r="BE15" s="260">
        <v>0.85759676487579439</v>
      </c>
      <c r="BF15" s="260">
        <v>0.89704557737344626</v>
      </c>
      <c r="BG15" s="260">
        <v>0.69854344550477143</v>
      </c>
      <c r="BH15" s="260">
        <v>0.89369821194941124</v>
      </c>
      <c r="BI15" s="260">
        <v>0.79644067796610174</v>
      </c>
      <c r="BJ15" s="260">
        <v>0.719701726844584</v>
      </c>
      <c r="BK15" s="260">
        <v>0.65205163507136887</v>
      </c>
      <c r="BL15" s="260">
        <v>0.81423677198325084</v>
      </c>
      <c r="BM15" s="260">
        <v>0.85317968416559964</v>
      </c>
      <c r="BN15" s="260">
        <v>0.89738299489629714</v>
      </c>
      <c r="BO15" s="260">
        <v>0.75645161290322582</v>
      </c>
      <c r="BP15" s="260">
        <v>0.69161974163630346</v>
      </c>
      <c r="BQ15" s="260">
        <v>0.87275633144824194</v>
      </c>
      <c r="BR15" s="260">
        <v>0.87813149546001534</v>
      </c>
      <c r="BS15" s="260">
        <v>0.74492106522085788</v>
      </c>
      <c r="BT15" s="260">
        <v>0.68880431335236281</v>
      </c>
      <c r="BU15" s="260">
        <v>0.87023995826812728</v>
      </c>
      <c r="BV15" s="260">
        <v>0.88467407891868322</v>
      </c>
      <c r="BW15" s="260">
        <v>0.79380776340110903</v>
      </c>
      <c r="BX15" s="260">
        <v>0.68034948895483016</v>
      </c>
      <c r="BY15" s="260">
        <v>0.85488197424892709</v>
      </c>
      <c r="BZ15" s="260">
        <v>0.9107142857142857</v>
      </c>
      <c r="CA15" s="260">
        <v>0.52408465871438037</v>
      </c>
      <c r="CB15" s="260">
        <v>0.87448115557031381</v>
      </c>
      <c r="CC15" s="260">
        <v>0.79811757198691868</v>
      </c>
      <c r="CD15" s="260">
        <v>0.63348566864850475</v>
      </c>
      <c r="CE15" s="260">
        <v>0.59630225080385857</v>
      </c>
      <c r="CF15" s="260">
        <v>0.87158559146805958</v>
      </c>
      <c r="CG15" s="260">
        <v>0.70518518518518514</v>
      </c>
      <c r="CH15" s="260">
        <v>0.76750611826004578</v>
      </c>
      <c r="CI15" s="260">
        <v>0.83241385547616897</v>
      </c>
      <c r="CJ15" s="260">
        <v>0.65857178491251822</v>
      </c>
      <c r="CK15" s="260">
        <v>0.82324304081887401</v>
      </c>
      <c r="CL15" s="260">
        <v>0.78039626429257225</v>
      </c>
      <c r="CM15" s="260">
        <v>0.75798797848782029</v>
      </c>
      <c r="CN15" s="260">
        <v>0.81853523952846752</v>
      </c>
      <c r="CO15" s="260">
        <v>0.76408787010506207</v>
      </c>
      <c r="CP15" s="260">
        <v>0.80773480662983421</v>
      </c>
      <c r="CQ15" s="260">
        <v>0.8138120069528012</v>
      </c>
      <c r="CR15" s="260">
        <v>0.70956096685950043</v>
      </c>
      <c r="CS15" s="260">
        <v>0.7846725764941378</v>
      </c>
      <c r="CT15" s="260">
        <v>0.85245263431092655</v>
      </c>
      <c r="CU15" s="260">
        <v>0.82067129409527428</v>
      </c>
      <c r="CV15" s="260">
        <v>0.59348771929824562</v>
      </c>
      <c r="CW15" s="260">
        <v>0.85875150322510108</v>
      </c>
      <c r="CX15" s="260">
        <v>0.83979637366649085</v>
      </c>
      <c r="CY15" s="260">
        <v>0.7321388069857111</v>
      </c>
      <c r="CZ15" s="260">
        <v>0.60744973663252899</v>
      </c>
      <c r="DA15" s="260">
        <v>0.87791036088474972</v>
      </c>
      <c r="DB15" s="260">
        <v>0.695779888377558</v>
      </c>
      <c r="DC15" s="260">
        <v>0.75257731958762886</v>
      </c>
      <c r="DD15" s="260">
        <v>0.82505994139064032</v>
      </c>
      <c r="DE15" s="260">
        <v>0.77891819768038595</v>
      </c>
      <c r="DF15" s="260">
        <v>0.68848389098911023</v>
      </c>
      <c r="DG15" s="260">
        <v>0.85299455535390201</v>
      </c>
      <c r="DH15" s="260">
        <v>0.80676680764182584</v>
      </c>
      <c r="DI15" s="260">
        <v>0.8157799164699473</v>
      </c>
      <c r="DJ15" s="260">
        <v>0.87494109885967397</v>
      </c>
      <c r="DK15" s="260">
        <v>0.79173627352711884</v>
      </c>
      <c r="DL15" s="260">
        <v>0.7675559042761867</v>
      </c>
      <c r="DM15" s="260">
        <v>0.58717136642881673</v>
      </c>
      <c r="DN15" s="260">
        <v>0.7844036697247706</v>
      </c>
      <c r="DO15" s="260">
        <v>0.62504900630296445</v>
      </c>
      <c r="DP15" s="260">
        <v>0.7759764185703758</v>
      </c>
      <c r="DQ15" s="260">
        <v>0.63415231219375723</v>
      </c>
      <c r="DR15" s="260">
        <v>0.48503606464064319</v>
      </c>
      <c r="DS15" s="260">
        <v>0.81089954038082734</v>
      </c>
      <c r="DT15" s="260">
        <v>0.81381090674411105</v>
      </c>
      <c r="DU15" s="260">
        <v>0.74979149291075897</v>
      </c>
      <c r="DV15" s="260">
        <v>0</v>
      </c>
      <c r="DW15" s="260">
        <v>0.72658256291730872</v>
      </c>
      <c r="DX15" s="260">
        <v>0.83544685990338163</v>
      </c>
      <c r="DY15" s="260">
        <v>0.84670163319261438</v>
      </c>
      <c r="DZ15" s="260">
        <v>0.75152897273763863</v>
      </c>
      <c r="EA15" s="260">
        <v>0.90466772151898733</v>
      </c>
      <c r="EB15" s="260">
        <v>0.75979314802844211</v>
      </c>
      <c r="EC15" s="260">
        <v>0.7548828125</v>
      </c>
      <c r="ED15" s="260">
        <v>0.73697797154658096</v>
      </c>
      <c r="EE15" s="260">
        <v>0.59686586554075993</v>
      </c>
      <c r="EF15" s="260">
        <v>0.8450413223140496</v>
      </c>
      <c r="EG15" s="260">
        <v>0.76542944389488621</v>
      </c>
      <c r="EH15" s="260">
        <v>0.72037774201744731</v>
      </c>
      <c r="EI15" s="260">
        <v>0.69686114326904169</v>
      </c>
      <c r="EJ15" s="260">
        <v>0.80480620155038762</v>
      </c>
      <c r="EK15" s="260">
        <v>0.71585754270823276</v>
      </c>
      <c r="EL15" s="260">
        <v>0.7593015251965366</v>
      </c>
      <c r="EM15" s="260">
        <v>0.85611171073934156</v>
      </c>
      <c r="EN15" s="260">
        <v>0.79899954524783989</v>
      </c>
      <c r="EO15" s="260">
        <v>0.76098894333768374</v>
      </c>
      <c r="EP15" s="260">
        <v>0.78031489572170476</v>
      </c>
      <c r="EQ15" s="260">
        <v>0.62692909280500519</v>
      </c>
      <c r="ER15" s="260">
        <v>0.66277300267718753</v>
      </c>
      <c r="ES15" s="260">
        <v>0.7213290460878885</v>
      </c>
      <c r="ET15" s="260">
        <v>0.76226070122607015</v>
      </c>
      <c r="EU15" s="260">
        <v>0.76419664021436673</v>
      </c>
      <c r="EV15" s="260">
        <v>0.84037865186877758</v>
      </c>
      <c r="EW15" s="260">
        <v>0.60896858861988912</v>
      </c>
      <c r="EX15" s="260">
        <v>0.80437006307893388</v>
      </c>
      <c r="EY15" s="260">
        <v>0.83884835852006256</v>
      </c>
      <c r="EZ15" s="260">
        <v>0.83550285689736647</v>
      </c>
      <c r="FA15" s="260">
        <v>0.85833510525196688</v>
      </c>
      <c r="FB15" s="260">
        <v>0.76558161992515994</v>
      </c>
      <c r="FC15" s="260">
        <v>0.70384709181807092</v>
      </c>
      <c r="FD15" s="260">
        <v>0.81485678312873777</v>
      </c>
      <c r="FE15" s="260">
        <v>0.66499434361320153</v>
      </c>
      <c r="FF15" s="260">
        <v>0.70338707932041988</v>
      </c>
      <c r="FG15" s="260">
        <v>0.89139828781084385</v>
      </c>
      <c r="FH15" s="260">
        <v>0.70061271920557788</v>
      </c>
      <c r="FI15" s="260">
        <v>0.7284744228157537</v>
      </c>
      <c r="FJ15" s="260">
        <v>0.72804754445775366</v>
      </c>
      <c r="FK15" s="260">
        <v>0.85997710797405569</v>
      </c>
      <c r="FL15" s="260">
        <v>0.7553693428452799</v>
      </c>
      <c r="FM15" s="260">
        <v>0.74065680321559912</v>
      </c>
      <c r="FN15" s="260">
        <v>0.85743824137555769</v>
      </c>
      <c r="FO15" s="260">
        <v>0.81568012544100355</v>
      </c>
      <c r="FP15" s="260">
        <v>0.81549891228502236</v>
      </c>
      <c r="FQ15" s="260">
        <v>0.85719127782171511</v>
      </c>
      <c r="FR15" s="260">
        <v>0.86605042016806721</v>
      </c>
      <c r="FS15" s="260">
        <v>0.77336641852770882</v>
      </c>
      <c r="FT15" s="260">
        <v>0.7604554865424431</v>
      </c>
      <c r="FU15" s="260">
        <v>0.79587331238855397</v>
      </c>
      <c r="FV15" s="260">
        <v>0.78579640930397099</v>
      </c>
      <c r="FW15" s="260">
        <v>0.69932965299684546</v>
      </c>
      <c r="FX15" s="260">
        <v>0.68440734119499436</v>
      </c>
      <c r="FY15" s="260">
        <v>0.54679089026915118</v>
      </c>
      <c r="FZ15" s="260">
        <v>0.65812954395241241</v>
      </c>
      <c r="GA15" s="260">
        <v>0.62647991543340376</v>
      </c>
      <c r="GB15" s="260">
        <v>0.78677271077779121</v>
      </c>
      <c r="GC15" s="260">
        <v>0.83561913511385266</v>
      </c>
      <c r="GD15" s="260">
        <v>0.70444462369928207</v>
      </c>
      <c r="GE15" s="260">
        <v>0.78689574218333158</v>
      </c>
      <c r="GF15" s="260">
        <v>0.73446272991287509</v>
      </c>
      <c r="GG15" s="260">
        <v>0.72565584704313024</v>
      </c>
      <c r="GH15" s="260">
        <v>0.79309640522875813</v>
      </c>
      <c r="GI15" s="260">
        <v>0.86468296138859368</v>
      </c>
      <c r="GJ15" s="260">
        <v>0.85101822079314038</v>
      </c>
      <c r="GK15" s="260">
        <v>0.81073289721698638</v>
      </c>
      <c r="GL15" s="260">
        <v>0.855710781699904</v>
      </c>
      <c r="GM15" s="260">
        <v>0.84717764772512738</v>
      </c>
      <c r="GN15" s="260">
        <v>0.78536044844218489</v>
      </c>
      <c r="GO15" s="260">
        <v>0.60270182011927886</v>
      </c>
      <c r="GP15" s="260">
        <v>0.84213130979874629</v>
      </c>
      <c r="GQ15" s="260">
        <v>0.80723180076628354</v>
      </c>
      <c r="GR15" s="260">
        <v>0.77226080009832232</v>
      </c>
      <c r="GS15" s="260">
        <v>0.7500317057704502</v>
      </c>
      <c r="GT15" s="260">
        <v>0.68148992778411255</v>
      </c>
      <c r="GU15" s="260">
        <v>0.77370506651570903</v>
      </c>
      <c r="GV15" s="260">
        <v>0.85368217054263562</v>
      </c>
      <c r="GW15" s="260">
        <v>0.8358138692739453</v>
      </c>
      <c r="GX15" s="260">
        <v>0.91552245752850825</v>
      </c>
      <c r="GY15" s="260">
        <v>0.87405343187738538</v>
      </c>
      <c r="GZ15" s="260">
        <v>0.89059187011570851</v>
      </c>
      <c r="HA15" s="260">
        <v>0.86253066947073254</v>
      </c>
      <c r="HB15" s="260">
        <v>0.77256248807479488</v>
      </c>
      <c r="HC15" s="260">
        <v>0.69909962242230617</v>
      </c>
      <c r="HD15" s="260">
        <v>0.89859554181162227</v>
      </c>
      <c r="HE15" s="260">
        <v>0.84164648910411621</v>
      </c>
      <c r="HF15" s="260">
        <v>0.70148155931491019</v>
      </c>
      <c r="HG15" s="260">
        <v>0.8091013165426445</v>
      </c>
      <c r="HH15" s="260">
        <v>0.74415303918543663</v>
      </c>
      <c r="HI15" s="260">
        <v>0.51592013643999335</v>
      </c>
      <c r="HJ15" s="260">
        <v>0.79462557112986909</v>
      </c>
      <c r="HK15" s="260">
        <v>0.86118980169971671</v>
      </c>
      <c r="HL15" s="260">
        <v>0.78548123980424145</v>
      </c>
      <c r="HM15" s="260">
        <v>0.80526770293609673</v>
      </c>
      <c r="HN15" s="260">
        <v>0.78724259166248112</v>
      </c>
      <c r="HO15" s="260">
        <v>0.7009264305177112</v>
      </c>
      <c r="HP15" s="260">
        <v>0.75410168118290455</v>
      </c>
      <c r="HQ15" s="260">
        <v>0.88635506973237843</v>
      </c>
      <c r="HR15" s="260">
        <v>0.56554447996990787</v>
      </c>
      <c r="HS15" s="260">
        <v>0.83648277964035356</v>
      </c>
      <c r="HT15" s="260">
        <v>0.7363735465116279</v>
      </c>
      <c r="HU15" s="260">
        <v>0.87815328584435759</v>
      </c>
      <c r="HV15" s="260">
        <v>0.91102514506769827</v>
      </c>
      <c r="HW15" s="260">
        <v>0.73269539708039388</v>
      </c>
      <c r="HX15" s="260">
        <v>0.83444722918407133</v>
      </c>
      <c r="HY15" s="260">
        <v>0.82643625890556316</v>
      </c>
      <c r="HZ15" s="260">
        <v>0.85081793765768698</v>
      </c>
      <c r="IA15" s="260">
        <v>0.69469961791724255</v>
      </c>
      <c r="IB15" s="260">
        <v>0.81403540462427748</v>
      </c>
      <c r="IC15" s="260">
        <v>0.79589371980676327</v>
      </c>
      <c r="ID15" s="260">
        <v>0.87398284583241703</v>
      </c>
      <c r="IE15" s="260">
        <v>0.82974053460845021</v>
      </c>
      <c r="IF15" s="260">
        <v>0.75210243200242444</v>
      </c>
      <c r="IG15" s="260">
        <v>0.82856577906670181</v>
      </c>
      <c r="IH15" s="260">
        <v>0.70800138552130243</v>
      </c>
      <c r="II15" s="260">
        <v>0.82713567839195978</v>
      </c>
      <c r="IJ15" s="260">
        <v>0.76797807158980969</v>
      </c>
      <c r="IK15" s="260">
        <v>0.78616695059625208</v>
      </c>
      <c r="IL15" s="260">
        <v>0.87957228000467458</v>
      </c>
      <c r="IM15" s="260">
        <v>0.92392061281337046</v>
      </c>
      <c r="IN15" s="260">
        <v>0.68941762751612268</v>
      </c>
      <c r="IO15" s="260">
        <v>0.77193221447253701</v>
      </c>
      <c r="IP15" s="260">
        <v>0.77591812161348583</v>
      </c>
      <c r="IQ15" s="260">
        <v>0.82863299321883521</v>
      </c>
      <c r="IR15" s="260">
        <v>0.91558441558441561</v>
      </c>
      <c r="IS15" s="260">
        <v>0.62284467590963477</v>
      </c>
      <c r="IT15" s="260">
        <v>0.88304093567251463</v>
      </c>
      <c r="IU15" s="260">
        <v>0.90398079615923188</v>
      </c>
      <c r="IV15" s="260">
        <v>0.72873055502208561</v>
      </c>
      <c r="IW15" s="260">
        <v>0.78025598783424155</v>
      </c>
      <c r="IX15" s="260">
        <v>0.77932339720842203</v>
      </c>
      <c r="IY15" s="260">
        <v>0.87922330097087376</v>
      </c>
      <c r="IZ15" s="260">
        <v>0.6678910655981003</v>
      </c>
      <c r="JA15" s="260">
        <v>0.82797518330513253</v>
      </c>
      <c r="JB15" s="260">
        <v>0.71301033910864886</v>
      </c>
      <c r="JC15" s="260">
        <v>0.7570093457943925</v>
      </c>
      <c r="JD15" s="260">
        <v>0.76277737611923702</v>
      </c>
      <c r="JE15" s="260">
        <v>0.65589276166713339</v>
      </c>
      <c r="JF15" s="260">
        <v>0.63718140929535227</v>
      </c>
      <c r="JG15" s="260">
        <v>0.92888359157727451</v>
      </c>
      <c r="JH15" s="260">
        <v>0.8044837820648717</v>
      </c>
      <c r="JI15" s="260">
        <v>0.81425940541962638</v>
      </c>
      <c r="JJ15" s="260">
        <v>0.74973429694972893</v>
      </c>
      <c r="JK15" s="260">
        <v>0</v>
      </c>
      <c r="JL15" s="260">
        <v>0.8477361093691208</v>
      </c>
      <c r="JM15" s="260">
        <v>0.81438935912938326</v>
      </c>
      <c r="JN15" s="260">
        <v>0.90689575110285581</v>
      </c>
      <c r="JO15" s="260">
        <v>0.75985758789497104</v>
      </c>
      <c r="JP15" s="260">
        <v>0.64901512073058576</v>
      </c>
      <c r="JQ15" s="260">
        <v>0.79772564469914042</v>
      </c>
      <c r="JR15" s="260">
        <v>0.89483005819347217</v>
      </c>
      <c r="JS15" s="260">
        <v>0.73761755485893421</v>
      </c>
      <c r="JT15" s="260">
        <v>0.75098107396552582</v>
      </c>
      <c r="JU15" s="260">
        <v>0.80460947503201019</v>
      </c>
      <c r="JV15" s="260">
        <v>0.76552217453505012</v>
      </c>
      <c r="JW15" s="260">
        <v>0.84427449918787223</v>
      </c>
      <c r="JX15" s="260">
        <v>0.9347120150401641</v>
      </c>
      <c r="JY15" s="260">
        <v>0.81166936790923827</v>
      </c>
      <c r="JZ15" s="260">
        <v>0.86083922860742323</v>
      </c>
      <c r="KA15" s="260">
        <v>0.8134414252114297</v>
      </c>
      <c r="KB15" s="260">
        <v>0.76467096336499318</v>
      </c>
      <c r="KC15" s="260">
        <v>0.73949011055125213</v>
      </c>
      <c r="KD15" s="260">
        <v>0.82641380488638305</v>
      </c>
      <c r="KE15" s="260">
        <v>0.8393877084761252</v>
      </c>
      <c r="KF15" s="260">
        <v>0.76825247291568532</v>
      </c>
      <c r="KG15" s="260" t="s">
        <v>1158</v>
      </c>
      <c r="KH15" s="260">
        <v>0.70191767130988814</v>
      </c>
      <c r="KI15" s="260">
        <v>0.88013896931094382</v>
      </c>
      <c r="KJ15" s="260">
        <v>0.79560228364705221</v>
      </c>
      <c r="KK15" s="260">
        <v>0</v>
      </c>
      <c r="KL15" s="260">
        <v>0.92791005291005291</v>
      </c>
      <c r="KM15" s="260">
        <v>0.93003290885677492</v>
      </c>
      <c r="KN15" s="260">
        <v>0.75026544913994475</v>
      </c>
      <c r="KO15" s="260">
        <v>0.83412862331742754</v>
      </c>
      <c r="KP15" s="260">
        <v>0.74211171814026089</v>
      </c>
      <c r="KQ15" s="260">
        <v>0.76514611546685674</v>
      </c>
      <c r="KR15" s="260">
        <v>0.76750856505457732</v>
      </c>
      <c r="KS15" s="260">
        <v>0.87528621584490918</v>
      </c>
      <c r="KT15" s="260">
        <v>0</v>
      </c>
      <c r="KU15" s="260">
        <v>0.6958566853482786</v>
      </c>
      <c r="KV15" s="260">
        <v>0.70726449665876268</v>
      </c>
      <c r="KW15" s="260">
        <v>0.75114155251141557</v>
      </c>
      <c r="KX15" s="260">
        <v>0.81571243787868475</v>
      </c>
      <c r="KY15" s="260">
        <v>0.85123585123585122</v>
      </c>
      <c r="KZ15" s="260">
        <v>0.69431753283837805</v>
      </c>
      <c r="LA15" s="260">
        <v>0.80203698210224461</v>
      </c>
      <c r="LB15" s="260">
        <v>0.7585453100158982</v>
      </c>
      <c r="LC15" s="260">
        <v>0.77178816606734224</v>
      </c>
      <c r="LD15" s="260">
        <v>0.7143069380478384</v>
      </c>
      <c r="LE15" s="260">
        <v>0.76772287862513422</v>
      </c>
      <c r="LF15" s="260">
        <v>0.88387609915602494</v>
      </c>
      <c r="LG15" s="260">
        <v>0.75390646877625311</v>
      </c>
      <c r="LH15" s="260">
        <v>0.92220421393841168</v>
      </c>
      <c r="LI15" s="260">
        <v>0.73661335187760779</v>
      </c>
      <c r="LJ15" s="260">
        <v>0.85376192158247965</v>
      </c>
      <c r="LK15" s="260">
        <v>0.62361878453038677</v>
      </c>
      <c r="LL15" s="260">
        <v>0.87258975178438269</v>
      </c>
      <c r="LM15" s="260">
        <v>0.65414354589284085</v>
      </c>
      <c r="LN15" s="260">
        <v>0.84832137180289968</v>
      </c>
      <c r="LO15" s="260">
        <v>0.69093387866393996</v>
      </c>
      <c r="LP15" s="260">
        <v>0.75644764421762511</v>
      </c>
      <c r="LQ15" s="260">
        <v>0.81699674103785414</v>
      </c>
      <c r="LR15" s="260">
        <v>0.53550787218494655</v>
      </c>
      <c r="LS15" s="260">
        <v>0.69830142895659209</v>
      </c>
      <c r="LT15" s="260">
        <v>0.6962973235334905</v>
      </c>
      <c r="LU15" s="260">
        <v>0.79121815572299969</v>
      </c>
      <c r="LV15" s="260">
        <v>0.62729192132459166</v>
      </c>
      <c r="LW15" s="260">
        <v>0.8926864367579791</v>
      </c>
      <c r="LX15" s="260">
        <v>0.88557085854035267</v>
      </c>
      <c r="LY15" s="260">
        <v>0.85303406271148208</v>
      </c>
      <c r="LZ15" s="260">
        <v>0.82566311493992295</v>
      </c>
      <c r="MA15" s="260">
        <v>0.70596065670758767</v>
      </c>
      <c r="MB15" s="260">
        <v>0.91427272727272724</v>
      </c>
      <c r="MC15" s="260">
        <v>0.84187962137816419</v>
      </c>
      <c r="MD15" s="260">
        <v>0.84215509079955242</v>
      </c>
      <c r="ME15" s="260">
        <v>0.8205689277899344</v>
      </c>
      <c r="MF15" s="260">
        <v>0.86643160842061595</v>
      </c>
      <c r="MG15" s="260">
        <v>0.76495550185654504</v>
      </c>
      <c r="MH15" s="260">
        <v>0.7906952430737062</v>
      </c>
      <c r="MI15" s="260">
        <v>0.82174502241217551</v>
      </c>
      <c r="MJ15" s="260">
        <v>0.76513157894736838</v>
      </c>
      <c r="MK15" s="260">
        <v>0.87867799419809367</v>
      </c>
      <c r="ML15" s="260">
        <v>0.73024142903660971</v>
      </c>
      <c r="MM15" s="260">
        <v>0.89481409001956946</v>
      </c>
      <c r="MN15" s="260">
        <v>0.78135593220338984</v>
      </c>
      <c r="MO15" s="260">
        <v>0.7910695742471443</v>
      </c>
      <c r="MP15" s="260">
        <v>0.73303517925783024</v>
      </c>
      <c r="MQ15" s="260">
        <v>0.84369732990330881</v>
      </c>
      <c r="MR15" s="260">
        <v>0.76568993074054337</v>
      </c>
      <c r="MS15" s="260">
        <v>0.72937839754195222</v>
      </c>
      <c r="MT15" s="260">
        <v>0.62331044452475604</v>
      </c>
      <c r="MU15" s="260">
        <v>0.79280339867942873</v>
      </c>
      <c r="MV15" s="260">
        <v>0.70724544823535695</v>
      </c>
      <c r="MW15" s="260">
        <v>0.75168770179043143</v>
      </c>
      <c r="MX15" s="260">
        <v>0.75756690428888629</v>
      </c>
      <c r="MY15" s="260">
        <v>0.83668543845534993</v>
      </c>
      <c r="MZ15" s="260">
        <v>0.6307518115942029</v>
      </c>
      <c r="NA15" s="260">
        <v>0.8662376465180418</v>
      </c>
      <c r="NB15" s="260">
        <v>0.77287234042553188</v>
      </c>
      <c r="NC15" s="260">
        <v>0.60005307855626322</v>
      </c>
      <c r="ND15" s="260">
        <v>0.6</v>
      </c>
    </row>
    <row r="16" spans="1:368" s="255" customFormat="1" ht="14.4" x14ac:dyDescent="0.3">
      <c r="A16" s="254"/>
      <c r="B16" s="257"/>
      <c r="K16" s="255">
        <f t="shared" si="6"/>
        <v>15</v>
      </c>
    </row>
    <row r="17" spans="1:368" s="255" customFormat="1" ht="14.4" x14ac:dyDescent="0.3">
      <c r="A17" s="254"/>
      <c r="B17" s="257"/>
      <c r="D17" s="254" t="s">
        <v>406</v>
      </c>
      <c r="K17" s="255">
        <f t="shared" si="6"/>
        <v>16</v>
      </c>
    </row>
    <row r="18" spans="1:368" s="255" customFormat="1" ht="14.4" x14ac:dyDescent="0.3">
      <c r="A18" s="254"/>
      <c r="B18" s="257"/>
      <c r="E18" s="255" t="s">
        <v>1124</v>
      </c>
      <c r="F18" s="255" t="s">
        <v>407</v>
      </c>
      <c r="G18" s="255" t="s">
        <v>457</v>
      </c>
      <c r="H18" s="255" t="s">
        <v>1162</v>
      </c>
      <c r="K18" s="255">
        <f t="shared" si="6"/>
        <v>17</v>
      </c>
      <c r="M18" s="261">
        <v>4129.6296296296296</v>
      </c>
      <c r="N18" s="261">
        <v>5502.1851851851852</v>
      </c>
      <c r="O18" s="261">
        <v>3961.6666666666665</v>
      </c>
      <c r="P18" s="261">
        <v>5574.1481481481478</v>
      </c>
      <c r="Q18" s="261">
        <v>3835.1481481481483</v>
      </c>
      <c r="R18" s="261">
        <v>4262.7037037037035</v>
      </c>
      <c r="S18" s="261">
        <v>17602.370370370369</v>
      </c>
      <c r="T18" s="261">
        <v>15932.703703703704</v>
      </c>
      <c r="U18" s="261">
        <v>35382.333333333336</v>
      </c>
      <c r="V18" s="261">
        <v>19771.962962962964</v>
      </c>
      <c r="W18" s="261">
        <v>1309.1111111111111</v>
      </c>
      <c r="X18" s="261">
        <v>8166.9629629629626</v>
      </c>
      <c r="Y18" s="261">
        <v>328.22222222222223</v>
      </c>
      <c r="Z18" s="261">
        <v>24732.888888888891</v>
      </c>
      <c r="AA18" s="261">
        <v>14263.407407407407</v>
      </c>
      <c r="AB18" s="261">
        <v>31712.185185185186</v>
      </c>
      <c r="AC18" s="261">
        <v>28696.481481481482</v>
      </c>
      <c r="AD18" s="261">
        <v>2221.037037037037</v>
      </c>
      <c r="AE18" s="261">
        <v>22832.925925925927</v>
      </c>
      <c r="AF18" s="261">
        <v>12187.518518518518</v>
      </c>
      <c r="AG18" s="261">
        <v>2799.5925925925926</v>
      </c>
      <c r="AH18" s="261">
        <v>1216.3703703703704</v>
      </c>
      <c r="AI18" s="261">
        <v>4033.3703703703704</v>
      </c>
      <c r="AJ18" s="261">
        <v>7080.0370370370374</v>
      </c>
      <c r="AK18" s="261">
        <v>7927.666666666667</v>
      </c>
      <c r="AL18" s="261">
        <v>3267.2222222222222</v>
      </c>
      <c r="AM18" s="261">
        <v>6629.1851851851852</v>
      </c>
      <c r="AN18" s="261">
        <v>1304.8148148148148</v>
      </c>
      <c r="AO18" s="261">
        <v>2580.5185185185187</v>
      </c>
      <c r="AP18" s="261">
        <v>5760.6296296296296</v>
      </c>
      <c r="AQ18" s="261">
        <v>3209</v>
      </c>
      <c r="AR18" s="261">
        <v>1739.6666666666667</v>
      </c>
      <c r="AS18" s="261">
        <v>4127.3703703703704</v>
      </c>
      <c r="AT18" s="261">
        <v>13908.888888888889</v>
      </c>
      <c r="AU18" s="261">
        <v>6235.2222222222226</v>
      </c>
      <c r="AV18" s="261">
        <v>4159.6296296296296</v>
      </c>
      <c r="AW18" s="261">
        <v>4378.4814814814818</v>
      </c>
      <c r="AX18" s="261">
        <v>4549.0740740740739</v>
      </c>
      <c r="AY18" s="261">
        <v>7214.4814814814818</v>
      </c>
      <c r="AZ18" s="261">
        <v>6981.3703703703704</v>
      </c>
      <c r="BA18" s="261">
        <v>3446.0740740740739</v>
      </c>
      <c r="BB18" s="261">
        <v>1493.6296296296296</v>
      </c>
      <c r="BC18" s="261">
        <v>2524.2222222222222</v>
      </c>
      <c r="BD18" s="261">
        <v>4747.2962962962965</v>
      </c>
      <c r="BE18" s="261">
        <v>1242.962962962963</v>
      </c>
      <c r="BF18" s="261">
        <v>4613.2222222222226</v>
      </c>
      <c r="BG18" s="261">
        <v>4487.1481481481478</v>
      </c>
      <c r="BH18" s="261">
        <v>3866.8148148148148</v>
      </c>
      <c r="BI18" s="261">
        <v>4761.8148148148148</v>
      </c>
      <c r="BJ18" s="261">
        <v>4801.5925925925922</v>
      </c>
      <c r="BK18" s="261">
        <v>26328.037037037036</v>
      </c>
      <c r="BL18" s="261">
        <v>2856.4814814814813</v>
      </c>
      <c r="BM18" s="261">
        <v>5408.2962962962965</v>
      </c>
      <c r="BN18" s="261">
        <v>3877.4074074074074</v>
      </c>
      <c r="BO18" s="261">
        <v>6852.333333333333</v>
      </c>
      <c r="BP18" s="261">
        <v>1918.3703703703704</v>
      </c>
      <c r="BQ18" s="261">
        <v>3922</v>
      </c>
      <c r="BR18" s="261">
        <v>3084.2962962962961</v>
      </c>
      <c r="BS18" s="261">
        <v>11562.111111111111</v>
      </c>
      <c r="BT18" s="261">
        <v>5657.5925925925922</v>
      </c>
      <c r="BU18" s="261">
        <v>6486.5185185185182</v>
      </c>
      <c r="BV18" s="261">
        <v>3288.5555555555557</v>
      </c>
      <c r="BW18" s="261">
        <v>4772.8888888888887</v>
      </c>
      <c r="BX18" s="261">
        <v>3708.1111111111113</v>
      </c>
      <c r="BY18" s="261">
        <v>4037.1481481481483</v>
      </c>
      <c r="BZ18" s="261">
        <v>3720.5185185185187</v>
      </c>
      <c r="CA18" s="261">
        <v>11597.962962962964</v>
      </c>
      <c r="CB18" s="261">
        <v>4198.2962962962965</v>
      </c>
      <c r="CC18" s="261">
        <v>5084.8148148148148</v>
      </c>
      <c r="CD18" s="261">
        <v>13273.407407407407</v>
      </c>
      <c r="CE18" s="261">
        <v>3359.7037037037039</v>
      </c>
      <c r="CF18" s="261">
        <v>3651.2962962962961</v>
      </c>
      <c r="CG18" s="261">
        <v>1791.4444444444443</v>
      </c>
      <c r="CH18" s="261">
        <v>10636.185185185184</v>
      </c>
      <c r="CI18" s="261">
        <v>4391.8148148148148</v>
      </c>
      <c r="CJ18" s="261">
        <v>19151.925925925927</v>
      </c>
      <c r="CK18" s="261">
        <v>3177.1111111111113</v>
      </c>
      <c r="CL18" s="261">
        <v>3962.3333333333335</v>
      </c>
      <c r="CM18" s="261">
        <v>6078.8148148148148</v>
      </c>
      <c r="CN18" s="261">
        <v>2911.2222222222222</v>
      </c>
      <c r="CO18" s="261">
        <v>3631.5555555555557</v>
      </c>
      <c r="CP18" s="261">
        <v>6033.7407407407409</v>
      </c>
      <c r="CQ18" s="261">
        <v>4562.2962962962965</v>
      </c>
      <c r="CR18" s="261">
        <v>16929.259259259259</v>
      </c>
      <c r="CS18" s="261">
        <v>1394.7037037037037</v>
      </c>
      <c r="CT18" s="261">
        <v>2990.3703703703704</v>
      </c>
      <c r="CU18" s="261">
        <v>4102</v>
      </c>
      <c r="CV18" s="261">
        <v>30532.666666666668</v>
      </c>
      <c r="CW18" s="261">
        <v>4612.7407407407409</v>
      </c>
      <c r="CX18" s="261">
        <v>22457.703703703704</v>
      </c>
      <c r="CY18" s="261">
        <v>3226.5555555555557</v>
      </c>
      <c r="CZ18" s="261">
        <v>25977.370370370369</v>
      </c>
      <c r="DA18" s="261">
        <v>5357.9629629629626</v>
      </c>
      <c r="DB18" s="261">
        <v>4359.9259259259261</v>
      </c>
      <c r="DC18" s="261">
        <v>7940.9629629629626</v>
      </c>
      <c r="DD18" s="261">
        <v>8600.0370370370365</v>
      </c>
      <c r="DE18" s="261">
        <v>4014.3333333333335</v>
      </c>
      <c r="DF18" s="261">
        <v>6519.4444444444443</v>
      </c>
      <c r="DG18" s="261">
        <v>4600.9629629629626</v>
      </c>
      <c r="DH18" s="261">
        <v>2931.7407407407409</v>
      </c>
      <c r="DI18" s="261">
        <v>4015.2222222222222</v>
      </c>
      <c r="DJ18" s="261">
        <v>8192.8148148148157</v>
      </c>
      <c r="DK18" s="261">
        <v>7578.7037037037035</v>
      </c>
      <c r="DL18" s="261">
        <v>4034.2962962962961</v>
      </c>
      <c r="DM18" s="261">
        <v>7830.7407407407409</v>
      </c>
      <c r="DN18" s="261">
        <v>6287.1851851851852</v>
      </c>
      <c r="DO18" s="261">
        <v>12357.62962962963</v>
      </c>
      <c r="DP18" s="261">
        <v>1922.4814814814815</v>
      </c>
      <c r="DQ18" s="261">
        <v>59893.074074074073</v>
      </c>
      <c r="DR18" s="261">
        <v>27030</v>
      </c>
      <c r="DS18" s="261">
        <v>1842.7777777777778</v>
      </c>
      <c r="DT18" s="261">
        <v>3949.7777777777778</v>
      </c>
      <c r="DU18" s="261">
        <v>1638.4074074074074</v>
      </c>
      <c r="DV18" s="261">
        <v>10471.62962962963</v>
      </c>
      <c r="DW18" s="261">
        <v>25030.481481481482</v>
      </c>
      <c r="DX18" s="261">
        <v>5962.666666666667</v>
      </c>
      <c r="DY18" s="261">
        <v>9892.8518518518522</v>
      </c>
      <c r="DZ18" s="261">
        <v>8557.2592592592591</v>
      </c>
      <c r="EA18" s="261">
        <v>3587.1851851851852</v>
      </c>
      <c r="EB18" s="261">
        <v>3051.3703703703704</v>
      </c>
      <c r="EC18" s="261">
        <v>2322.7407407407409</v>
      </c>
      <c r="ED18" s="261">
        <v>7025.4814814814818</v>
      </c>
      <c r="EE18" s="261">
        <v>3994.1481481481483</v>
      </c>
      <c r="EF18" s="261">
        <v>3030.1851851851852</v>
      </c>
      <c r="EG18" s="261">
        <v>9097.8518518518522</v>
      </c>
      <c r="EH18" s="261">
        <v>9804.2962962962956</v>
      </c>
      <c r="EI18" s="261">
        <v>17986.111111111109</v>
      </c>
      <c r="EJ18" s="261">
        <v>2425</v>
      </c>
      <c r="EK18" s="261">
        <v>4420.6296296296296</v>
      </c>
      <c r="EL18" s="261">
        <v>10843.481481481482</v>
      </c>
      <c r="EM18" s="261">
        <v>7035.8518518518522</v>
      </c>
      <c r="EN18" s="261">
        <v>7277.1481481481478</v>
      </c>
      <c r="EO18" s="261">
        <v>16999.518518518518</v>
      </c>
      <c r="EP18" s="261">
        <v>4967.1851851851852</v>
      </c>
      <c r="EQ18" s="261">
        <v>14649.259259259259</v>
      </c>
      <c r="ER18" s="261">
        <v>23353.222222222223</v>
      </c>
      <c r="ES18" s="261">
        <v>2520.8148148148148</v>
      </c>
      <c r="ET18" s="261">
        <v>7572.4444444444443</v>
      </c>
      <c r="EU18" s="261">
        <v>4215.1111111111113</v>
      </c>
      <c r="EV18" s="261">
        <v>2398.3333333333335</v>
      </c>
      <c r="EW18" s="261">
        <v>13937.37037037037</v>
      </c>
      <c r="EX18" s="261">
        <v>14325.37037037037</v>
      </c>
      <c r="EY18" s="261">
        <v>6119.6296296296296</v>
      </c>
      <c r="EZ18" s="261">
        <v>6597.3703703703704</v>
      </c>
      <c r="FA18" s="261">
        <v>6757.2222222222226</v>
      </c>
      <c r="FB18" s="261">
        <v>10915.333333333334</v>
      </c>
      <c r="FC18" s="261">
        <v>12229.259259259259</v>
      </c>
      <c r="FD18" s="261">
        <v>6197.9259259259261</v>
      </c>
      <c r="FE18" s="261">
        <v>7058.9259259259261</v>
      </c>
      <c r="FF18" s="261">
        <v>6532.1481481481478</v>
      </c>
      <c r="FG18" s="261">
        <v>4867.7037037037035</v>
      </c>
      <c r="FH18" s="261">
        <v>5517</v>
      </c>
      <c r="FI18" s="261">
        <v>3543.5185185185187</v>
      </c>
      <c r="FJ18" s="261">
        <v>8543.8518518518522</v>
      </c>
      <c r="FK18" s="261">
        <v>2078.9259259259261</v>
      </c>
      <c r="FL18" s="261">
        <v>9480.4074074074069</v>
      </c>
      <c r="FM18" s="261">
        <v>9565.1111111111113</v>
      </c>
      <c r="FN18" s="261">
        <v>3322.7407407407409</v>
      </c>
      <c r="FO18" s="261">
        <v>4648.5185185185182</v>
      </c>
      <c r="FP18" s="261">
        <v>8416.1111111111113</v>
      </c>
      <c r="FQ18" s="261">
        <v>3778.2222222222222</v>
      </c>
      <c r="FR18" s="261">
        <v>2402.9259259259261</v>
      </c>
      <c r="FS18" s="261">
        <v>8485.2962962962956</v>
      </c>
      <c r="FT18" s="261">
        <v>1537.7777777777778</v>
      </c>
      <c r="FU18" s="261">
        <v>4522</v>
      </c>
      <c r="FV18" s="261">
        <v>9051.5925925925931</v>
      </c>
      <c r="FW18" s="261">
        <v>1555.7407407407406</v>
      </c>
      <c r="FX18" s="261">
        <v>21344.111111111109</v>
      </c>
      <c r="FY18" s="261">
        <v>16964.14814814815</v>
      </c>
      <c r="FZ18" s="261">
        <v>3450.4814814814813</v>
      </c>
      <c r="GA18" s="261">
        <v>10637.444444444445</v>
      </c>
      <c r="GB18" s="261">
        <v>14434.962962962964</v>
      </c>
      <c r="GC18" s="261">
        <v>5766.7037037037035</v>
      </c>
      <c r="GD18" s="261">
        <v>4496.8518518518522</v>
      </c>
      <c r="GE18" s="261">
        <v>6326.8518518518522</v>
      </c>
      <c r="GF18" s="261">
        <v>3803.962962962963</v>
      </c>
      <c r="GG18" s="261">
        <v>4638.1111111111113</v>
      </c>
      <c r="GH18" s="261">
        <v>4246</v>
      </c>
      <c r="GI18" s="261">
        <v>1873.7407407407406</v>
      </c>
      <c r="GJ18" s="261">
        <v>1336.3333333333333</v>
      </c>
      <c r="GK18" s="261">
        <v>4134.9259259259261</v>
      </c>
      <c r="GL18" s="261">
        <v>4325.5185185185182</v>
      </c>
      <c r="GM18" s="261">
        <v>4471.8518518518522</v>
      </c>
      <c r="GN18" s="261">
        <v>6027.7037037037035</v>
      </c>
      <c r="GO18" s="261">
        <v>18485.555555555555</v>
      </c>
      <c r="GP18" s="261">
        <v>6502.4074074074078</v>
      </c>
      <c r="GQ18" s="261">
        <v>3409.5185185185187</v>
      </c>
      <c r="GR18" s="261">
        <v>11770.62962962963</v>
      </c>
      <c r="GS18" s="261">
        <v>6678.1851851851852</v>
      </c>
      <c r="GT18" s="261">
        <v>7644.1111111111113</v>
      </c>
      <c r="GU18" s="261">
        <v>2645.2962962962961</v>
      </c>
      <c r="GV18" s="261">
        <v>5353.8148148148148</v>
      </c>
      <c r="GW18" s="261">
        <v>10857.666666666666</v>
      </c>
      <c r="GX18" s="261">
        <v>1679.7037037037037</v>
      </c>
      <c r="GY18" s="261">
        <v>5425.4074074074078</v>
      </c>
      <c r="GZ18" s="261">
        <v>6356.3703703703704</v>
      </c>
      <c r="HA18" s="261">
        <v>6289</v>
      </c>
      <c r="HB18" s="261">
        <v>1748</v>
      </c>
      <c r="HC18" s="261">
        <v>1440.7407407407406</v>
      </c>
      <c r="HD18" s="261">
        <v>3029.3333333333335</v>
      </c>
      <c r="HE18" s="261">
        <v>2241.0740740740739</v>
      </c>
      <c r="HF18" s="261">
        <v>12064.777777777777</v>
      </c>
      <c r="HG18" s="261">
        <v>3609.4444444444443</v>
      </c>
      <c r="HH18" s="261">
        <v>6446</v>
      </c>
      <c r="HI18" s="261">
        <v>19857.518518518518</v>
      </c>
      <c r="HJ18" s="261">
        <v>16200</v>
      </c>
      <c r="HK18" s="261">
        <v>7654.7407407407409</v>
      </c>
      <c r="HL18" s="261">
        <v>1011.2222222222222</v>
      </c>
      <c r="HM18" s="261">
        <v>6016.8518518518522</v>
      </c>
      <c r="HN18" s="261">
        <v>8741.2222222222226</v>
      </c>
      <c r="HO18" s="261">
        <v>6147.1481481481478</v>
      </c>
      <c r="HP18" s="261">
        <v>3189.4814814814813</v>
      </c>
      <c r="HQ18" s="261">
        <v>4699.1111111111113</v>
      </c>
      <c r="HR18" s="261">
        <v>2908.7037037037039</v>
      </c>
      <c r="HS18" s="261">
        <v>2433.2592592592591</v>
      </c>
      <c r="HT18" s="261">
        <v>4291.1481481481478</v>
      </c>
      <c r="HU18" s="261">
        <v>8390.0740740740748</v>
      </c>
      <c r="HV18" s="261">
        <v>5000.8148148148148</v>
      </c>
      <c r="HW18" s="261">
        <v>5447.8148148148148</v>
      </c>
      <c r="HX18" s="261">
        <v>2610.5185185185187</v>
      </c>
      <c r="HY18" s="261">
        <v>2418.3333333333335</v>
      </c>
      <c r="HZ18" s="261">
        <v>5070.4074074074078</v>
      </c>
      <c r="IA18" s="261">
        <v>10073.925925925925</v>
      </c>
      <c r="IB18" s="261">
        <v>4203.1851851851852</v>
      </c>
      <c r="IC18" s="261">
        <v>1727.2222222222222</v>
      </c>
      <c r="ID18" s="261">
        <v>1490</v>
      </c>
      <c r="IE18" s="261">
        <v>5441.5185185185182</v>
      </c>
      <c r="IF18" s="261">
        <v>14358.555555555555</v>
      </c>
      <c r="IG18" s="261">
        <v>6666.2962962962965</v>
      </c>
      <c r="IH18" s="261">
        <v>1938.8148148148148</v>
      </c>
      <c r="II18" s="261">
        <v>1189</v>
      </c>
      <c r="IJ18" s="261">
        <v>6595.333333333333</v>
      </c>
      <c r="IK18" s="261">
        <v>5617.8518518518522</v>
      </c>
      <c r="IL18" s="261">
        <v>7206.2962962962965</v>
      </c>
      <c r="IM18" s="261">
        <v>2374.1851851851852</v>
      </c>
      <c r="IN18" s="261">
        <v>7108.6296296296296</v>
      </c>
      <c r="IO18" s="261">
        <v>16371.296296296296</v>
      </c>
      <c r="IP18" s="261">
        <v>3941</v>
      </c>
      <c r="IQ18" s="261">
        <v>5542.1851851851852</v>
      </c>
      <c r="IR18" s="261">
        <v>3385.4074074074074</v>
      </c>
      <c r="IS18" s="261">
        <v>3995.4074074074074</v>
      </c>
      <c r="IT18" s="261">
        <v>779.62962962962968</v>
      </c>
      <c r="IU18" s="261">
        <v>1810</v>
      </c>
      <c r="IV18" s="261">
        <v>7328.7037037037035</v>
      </c>
      <c r="IW18" s="261">
        <v>2914.5185185185187</v>
      </c>
      <c r="IX18" s="261">
        <v>8153.7407407407409</v>
      </c>
      <c r="IY18" s="261">
        <v>7008.333333333333</v>
      </c>
      <c r="IZ18" s="261">
        <v>6772.9259259259261</v>
      </c>
      <c r="JA18" s="261">
        <v>4259.9259259259261</v>
      </c>
      <c r="JB18" s="261">
        <v>11678.37037037037</v>
      </c>
      <c r="JC18" s="261">
        <v>6502.5925925925922</v>
      </c>
      <c r="JD18" s="261">
        <v>15511.185185185184</v>
      </c>
      <c r="JE18" s="261">
        <v>90723.074074074073</v>
      </c>
      <c r="JF18" s="261">
        <v>192.4814814814815</v>
      </c>
      <c r="JG18" s="261">
        <v>5426.1851851851852</v>
      </c>
      <c r="JH18" s="261">
        <v>7002.0370370370374</v>
      </c>
      <c r="JI18" s="261">
        <v>1283.2592592592594</v>
      </c>
      <c r="JJ18" s="261">
        <v>12102.259259259259</v>
      </c>
      <c r="JK18" s="261">
        <v>0</v>
      </c>
      <c r="JL18" s="261">
        <v>5904.5185185185182</v>
      </c>
      <c r="JM18" s="261">
        <v>2101.4444444444443</v>
      </c>
      <c r="JN18" s="261">
        <v>1662.4444444444443</v>
      </c>
      <c r="JO18" s="261">
        <v>3486.037037037037</v>
      </c>
      <c r="JP18" s="261">
        <v>18341.85185185185</v>
      </c>
      <c r="JQ18" s="261">
        <v>4221.5185185185182</v>
      </c>
      <c r="JR18" s="261">
        <v>4100.7777777777774</v>
      </c>
      <c r="JS18" s="261">
        <v>11008.888888888889</v>
      </c>
      <c r="JT18" s="261">
        <v>8011.333333333333</v>
      </c>
      <c r="JU18" s="261">
        <v>3320.5185185185187</v>
      </c>
      <c r="JV18" s="261">
        <v>2793.5925925925926</v>
      </c>
      <c r="JW18" s="261">
        <v>6357.5925925925922</v>
      </c>
      <c r="JX18" s="261">
        <v>2827.4444444444443</v>
      </c>
      <c r="JY18" s="261">
        <v>4264.5555555555557</v>
      </c>
      <c r="JZ18" s="261">
        <v>4165.0740740740739</v>
      </c>
      <c r="KA18" s="261">
        <v>7598.333333333333</v>
      </c>
      <c r="KB18" s="261">
        <v>4876.0740740740739</v>
      </c>
      <c r="KC18" s="261">
        <v>9946.4444444444453</v>
      </c>
      <c r="KD18" s="261">
        <v>15315</v>
      </c>
      <c r="KE18" s="261">
        <v>9508.4444444444453</v>
      </c>
      <c r="KF18" s="261">
        <v>338.92592592592592</v>
      </c>
      <c r="KG18" s="261">
        <v>1906.9259259259259</v>
      </c>
      <c r="KH18" s="261">
        <v>5471.2962962962965</v>
      </c>
      <c r="KI18" s="261">
        <v>4032.2222222222222</v>
      </c>
      <c r="KJ18" s="261">
        <v>6470.3703703703704</v>
      </c>
      <c r="KK18" s="261">
        <v>19008.740740740741</v>
      </c>
      <c r="KL18" s="261">
        <v>3346.1111111111113</v>
      </c>
      <c r="KM18" s="261">
        <v>6184.2592592592591</v>
      </c>
      <c r="KN18" s="261">
        <v>4967.1481481481478</v>
      </c>
      <c r="KO18" s="261">
        <v>5398.8888888888887</v>
      </c>
      <c r="KP18" s="261">
        <v>7490.1481481481478</v>
      </c>
      <c r="KQ18" s="261">
        <v>2081.962962962963</v>
      </c>
      <c r="KR18" s="261">
        <v>5287.8148148148148</v>
      </c>
      <c r="KS18" s="261">
        <v>2368.4444444444443</v>
      </c>
      <c r="KT18" s="261">
        <v>17868.259259259259</v>
      </c>
      <c r="KU18" s="261">
        <v>6067.3703703703704</v>
      </c>
      <c r="KV18" s="261">
        <v>1456.4444444444443</v>
      </c>
      <c r="KW18" s="261">
        <v>2805.5555555555557</v>
      </c>
      <c r="KX18" s="261">
        <v>6135.1111111111113</v>
      </c>
      <c r="KY18" s="261">
        <v>5971.333333333333</v>
      </c>
      <c r="KZ18" s="261">
        <v>10241.037037037036</v>
      </c>
      <c r="LA18" s="261">
        <v>3350.8148148148148</v>
      </c>
      <c r="LB18" s="261">
        <v>7599.2962962962965</v>
      </c>
      <c r="LC18" s="261">
        <v>12022.259259259259</v>
      </c>
      <c r="LD18" s="261">
        <v>18391.481481481482</v>
      </c>
      <c r="LE18" s="261">
        <v>7339.8888888888887</v>
      </c>
      <c r="LF18" s="261">
        <v>8320.1851851851843</v>
      </c>
      <c r="LG18" s="261">
        <v>13341.740740740741</v>
      </c>
      <c r="LH18" s="261">
        <v>82.370370370370367</v>
      </c>
      <c r="LI18" s="261">
        <v>7978.1111111111113</v>
      </c>
      <c r="LJ18" s="261">
        <v>2361.3333333333335</v>
      </c>
      <c r="LK18" s="261">
        <v>3782.4814814814813</v>
      </c>
      <c r="LL18" s="261">
        <v>3294.5555555555557</v>
      </c>
      <c r="LM18" s="261">
        <v>3288.7777777777778</v>
      </c>
      <c r="LN18" s="261">
        <v>7705.1851851851852</v>
      </c>
      <c r="LO18" s="261">
        <v>2123.2592592592591</v>
      </c>
      <c r="LP18" s="261">
        <v>9516.1481481481478</v>
      </c>
      <c r="LQ18" s="261">
        <v>5709.7407407407409</v>
      </c>
      <c r="LR18" s="261">
        <v>3793.3333333333335</v>
      </c>
      <c r="LS18" s="261">
        <v>3435.2592592592591</v>
      </c>
      <c r="LT18" s="261">
        <v>1735</v>
      </c>
      <c r="LU18" s="261">
        <v>9297.9629629629635</v>
      </c>
      <c r="LV18" s="261">
        <v>2190.5925925925926</v>
      </c>
      <c r="LW18" s="261">
        <v>7111</v>
      </c>
      <c r="LX18" s="261">
        <v>2781.9259259259261</v>
      </c>
      <c r="LY18" s="261">
        <v>11072</v>
      </c>
      <c r="LZ18" s="261">
        <v>3042.5925925925926</v>
      </c>
      <c r="MA18" s="261">
        <v>2367.037037037037</v>
      </c>
      <c r="MB18" s="261">
        <v>4417.7407407407409</v>
      </c>
      <c r="MC18" s="261">
        <v>16218.111111111111</v>
      </c>
      <c r="MD18" s="261">
        <v>4798</v>
      </c>
      <c r="ME18" s="261">
        <v>2103.6666666666665</v>
      </c>
      <c r="MF18" s="261">
        <v>4741.7777777777774</v>
      </c>
      <c r="MG18" s="261">
        <v>7708.333333333333</v>
      </c>
      <c r="MH18" s="261">
        <v>2674.9259259259261</v>
      </c>
      <c r="MI18" s="261">
        <v>2919.9259259259261</v>
      </c>
      <c r="MJ18" s="261">
        <v>5315.666666666667</v>
      </c>
      <c r="MK18" s="261">
        <v>3971.1481481481483</v>
      </c>
      <c r="ML18" s="261">
        <v>7550.2962962962965</v>
      </c>
      <c r="MM18" s="261">
        <v>4598.7407407407409</v>
      </c>
      <c r="MN18" s="261">
        <v>2718.4814814814813</v>
      </c>
      <c r="MO18" s="261">
        <v>1829.5555555555557</v>
      </c>
      <c r="MP18" s="261">
        <v>27113.037037037036</v>
      </c>
      <c r="MQ18" s="261">
        <v>4242.5555555555557</v>
      </c>
      <c r="MR18" s="261">
        <v>2756.8888888888887</v>
      </c>
      <c r="MS18" s="261">
        <v>3403.8148148148148</v>
      </c>
      <c r="MT18" s="261">
        <v>9730.1481481481478</v>
      </c>
      <c r="MU18" s="261">
        <v>6694.666666666667</v>
      </c>
      <c r="MV18" s="261">
        <v>18755.592592592591</v>
      </c>
      <c r="MW18" s="261">
        <v>1165.4814814814815</v>
      </c>
      <c r="MX18" s="261">
        <v>6159.3703703703704</v>
      </c>
      <c r="MY18" s="261">
        <v>3788.0740740740739</v>
      </c>
      <c r="MZ18" s="261">
        <v>6888.9259259259261</v>
      </c>
      <c r="NA18" s="261">
        <v>3097.3703703703704</v>
      </c>
      <c r="NB18" s="261">
        <v>7701.7037037037035</v>
      </c>
      <c r="NC18" s="261">
        <v>18854.666666666668</v>
      </c>
      <c r="ND18" s="261">
        <v>18000</v>
      </c>
    </row>
    <row r="19" spans="1:368" s="255" customFormat="1" ht="14.4" x14ac:dyDescent="0.3">
      <c r="A19" s="254"/>
      <c r="B19" s="257"/>
      <c r="E19" s="255" t="s">
        <v>1125</v>
      </c>
      <c r="F19" s="255" t="s">
        <v>407</v>
      </c>
      <c r="G19" s="255" t="s">
        <v>457</v>
      </c>
      <c r="H19" s="255" t="s">
        <v>1162</v>
      </c>
      <c r="K19" s="255">
        <f t="shared" si="6"/>
        <v>18</v>
      </c>
      <c r="M19" s="261">
        <v>16.230097385620915</v>
      </c>
      <c r="N19" s="261">
        <v>16.842362418300656</v>
      </c>
      <c r="O19" s="261">
        <v>14.242773039215686</v>
      </c>
      <c r="P19" s="261">
        <v>18.900723039215688</v>
      </c>
      <c r="Q19" s="261">
        <v>11.284619607843139</v>
      </c>
      <c r="R19" s="261">
        <v>13.765815196078432</v>
      </c>
      <c r="S19" s="261">
        <v>58.955033823529412</v>
      </c>
      <c r="T19" s="261">
        <v>40.925350816993465</v>
      </c>
      <c r="U19" s="261">
        <v>105.321425</v>
      </c>
      <c r="V19" s="261">
        <v>60.04256535947713</v>
      </c>
      <c r="W19" s="261">
        <v>4.6596413398692809</v>
      </c>
      <c r="X19" s="261">
        <v>31.900361274509805</v>
      </c>
      <c r="Y19" s="261">
        <v>2.8313029411764705</v>
      </c>
      <c r="Z19" s="261">
        <v>68.284464542483661</v>
      </c>
      <c r="AA19" s="261">
        <v>40.367208660130721</v>
      </c>
      <c r="AB19" s="261">
        <v>143.53386666666668</v>
      </c>
      <c r="AC19" s="261">
        <v>85.01012450980393</v>
      </c>
      <c r="AD19" s="261">
        <v>8.1099746732026148</v>
      </c>
      <c r="AE19" s="261">
        <v>75.697607189542481</v>
      </c>
      <c r="AF19" s="261">
        <v>36.861061111111113</v>
      </c>
      <c r="AG19" s="261">
        <v>9.0232982026143791</v>
      </c>
      <c r="AH19" s="261">
        <v>4.9691565359477128</v>
      </c>
      <c r="AI19" s="261">
        <v>13.102809967320262</v>
      </c>
      <c r="AJ19" s="261">
        <v>23.714276307189543</v>
      </c>
      <c r="AK19" s="261">
        <v>25.953610294117649</v>
      </c>
      <c r="AL19" s="261">
        <v>9.2803818627450987</v>
      </c>
      <c r="AM19" s="261">
        <v>22.450845424836601</v>
      </c>
      <c r="AN19" s="261">
        <v>4.7645044117647064</v>
      </c>
      <c r="AO19" s="261">
        <v>8.3450709150326805</v>
      </c>
      <c r="AP19" s="261">
        <v>18.927784477124185</v>
      </c>
      <c r="AQ19" s="261">
        <v>10.858401960784315</v>
      </c>
      <c r="AR19" s="261">
        <v>7.1256148692810459</v>
      </c>
      <c r="AS19" s="261">
        <v>18.073657843137255</v>
      </c>
      <c r="AT19" s="261">
        <v>39.939299673202619</v>
      </c>
      <c r="AU19" s="261">
        <v>23.487636764705883</v>
      </c>
      <c r="AV19" s="261">
        <v>16.619105555555556</v>
      </c>
      <c r="AW19" s="261">
        <v>15.507895261437909</v>
      </c>
      <c r="AX19" s="261">
        <v>14.855038071895425</v>
      </c>
      <c r="AY19" s="261">
        <v>23.152751470588235</v>
      </c>
      <c r="AZ19" s="261">
        <v>21.102847549019607</v>
      </c>
      <c r="BA19" s="261">
        <v>12.652913562091504</v>
      </c>
      <c r="BB19" s="261">
        <v>5.229622875816994</v>
      </c>
      <c r="BC19" s="261">
        <v>9.5171694444444448</v>
      </c>
      <c r="BD19" s="261">
        <v>18.721441013071896</v>
      </c>
      <c r="BE19" s="261">
        <v>5.0182053921568626</v>
      </c>
      <c r="BF19" s="261">
        <v>16.801770261437909</v>
      </c>
      <c r="BG19" s="261">
        <v>11.815700326797387</v>
      </c>
      <c r="BH19" s="261">
        <v>13.813172712418302</v>
      </c>
      <c r="BI19" s="261">
        <v>15.935804248366013</v>
      </c>
      <c r="BJ19" s="261">
        <v>15.485907843137255</v>
      </c>
      <c r="BK19" s="261">
        <v>92.59916650326798</v>
      </c>
      <c r="BL19" s="261">
        <v>10.67404591503268</v>
      </c>
      <c r="BM19" s="261">
        <v>20.333287908496732</v>
      </c>
      <c r="BN19" s="261">
        <v>13.929875163398693</v>
      </c>
      <c r="BO19" s="261">
        <v>18.682540196078431</v>
      </c>
      <c r="BP19" s="261">
        <v>6.7366066993464058</v>
      </c>
      <c r="BQ19" s="261">
        <v>11.930711437908498</v>
      </c>
      <c r="BR19" s="261">
        <v>13.618668627450981</v>
      </c>
      <c r="BS19" s="261">
        <v>39.330417320261439</v>
      </c>
      <c r="BT19" s="261">
        <v>18.614886601307191</v>
      </c>
      <c r="BU19" s="261">
        <v>22.535412418300655</v>
      </c>
      <c r="BV19" s="261">
        <v>13.581459150326799</v>
      </c>
      <c r="BW19" s="261">
        <v>14.586115032679739</v>
      </c>
      <c r="BX19" s="261">
        <v>13.728605718954249</v>
      </c>
      <c r="BY19" s="261">
        <v>16.137073692810457</v>
      </c>
      <c r="BZ19" s="261">
        <v>12.248683333333334</v>
      </c>
      <c r="CA19" s="261">
        <v>42.039943790849676</v>
      </c>
      <c r="CB19" s="261">
        <v>17.711711111111111</v>
      </c>
      <c r="CC19" s="261">
        <v>16.835597058823531</v>
      </c>
      <c r="CD19" s="261">
        <v>47.470836111111112</v>
      </c>
      <c r="CE19" s="261">
        <v>12.51760637254902</v>
      </c>
      <c r="CF19" s="261">
        <v>13.515496895424837</v>
      </c>
      <c r="CG19" s="261">
        <v>6.4575356209150332</v>
      </c>
      <c r="CH19" s="261">
        <v>32.277530065359478</v>
      </c>
      <c r="CI19" s="261">
        <v>15.250811601307189</v>
      </c>
      <c r="CJ19" s="261">
        <v>62.14490081699347</v>
      </c>
      <c r="CK19" s="261">
        <v>11.259249509803922</v>
      </c>
      <c r="CL19" s="261">
        <v>15.156096568627452</v>
      </c>
      <c r="CM19" s="261">
        <v>20.074512908496732</v>
      </c>
      <c r="CN19" s="261">
        <v>10.900685457516341</v>
      </c>
      <c r="CO19" s="261">
        <v>13.381881045751635</v>
      </c>
      <c r="CP19" s="261">
        <v>19.727788235294117</v>
      </c>
      <c r="CQ19" s="261">
        <v>20.438150980392159</v>
      </c>
      <c r="CR19" s="261">
        <v>53.255218464052291</v>
      </c>
      <c r="CS19" s="261">
        <v>4.5852223856209156</v>
      </c>
      <c r="CT19" s="261">
        <v>11.125633660130719</v>
      </c>
      <c r="CU19" s="261">
        <v>14.613176470588236</v>
      </c>
      <c r="CV19" s="261">
        <v>105.14721699346406</v>
      </c>
      <c r="CW19" s="261">
        <v>13.304079411764707</v>
      </c>
      <c r="CX19" s="261">
        <v>69.943668954248366</v>
      </c>
      <c r="CY19" s="261">
        <v>10.834723202614379</v>
      </c>
      <c r="CZ19" s="261">
        <v>73.086178431372559</v>
      </c>
      <c r="DA19" s="261">
        <v>20.282547712418303</v>
      </c>
      <c r="DB19" s="261">
        <v>11.704071895424837</v>
      </c>
      <c r="DC19" s="261">
        <v>24.110049836601309</v>
      </c>
      <c r="DD19" s="261">
        <v>31.348984477124183</v>
      </c>
      <c r="DE19" s="261">
        <v>12.986107516339869</v>
      </c>
      <c r="DF19" s="261">
        <v>20.614050326797386</v>
      </c>
      <c r="DG19" s="261">
        <v>17.324394281045752</v>
      </c>
      <c r="DH19" s="261">
        <v>9.4055410130718951</v>
      </c>
      <c r="DI19" s="261">
        <v>15.014024019607843</v>
      </c>
      <c r="DJ19" s="261">
        <v>31.392959313725491</v>
      </c>
      <c r="DK19" s="261">
        <v>23.995038725490197</v>
      </c>
      <c r="DL19" s="261">
        <v>13.222895098039217</v>
      </c>
      <c r="DM19" s="261">
        <v>25.66608251633987</v>
      </c>
      <c r="DN19" s="261">
        <v>21.874098529411764</v>
      </c>
      <c r="DO19" s="261">
        <v>34.88050212418301</v>
      </c>
      <c r="DP19" s="261">
        <v>7.1374542483660131</v>
      </c>
      <c r="DQ19" s="261">
        <v>275.05922026143793</v>
      </c>
      <c r="DR19" s="261">
        <v>91.024529084967327</v>
      </c>
      <c r="DS19" s="261">
        <v>8.3552189542483664</v>
      </c>
      <c r="DT19" s="261">
        <v>12.786529411764706</v>
      </c>
      <c r="DU19" s="261">
        <v>6.0617620915032679</v>
      </c>
      <c r="DV19" s="261">
        <v>31.908817973856209</v>
      </c>
      <c r="DW19" s="261">
        <v>76.049405882352943</v>
      </c>
      <c r="DX19" s="261">
        <v>18.547233006535947</v>
      </c>
      <c r="DY19" s="261">
        <v>33.674576797385626</v>
      </c>
      <c r="DZ19" s="261">
        <v>24.1912341503268</v>
      </c>
      <c r="EA19" s="261">
        <v>11.578912745098039</v>
      </c>
      <c r="EB19" s="261">
        <v>9.8030058823529416</v>
      </c>
      <c r="EC19" s="261">
        <v>6.4896710784313729</v>
      </c>
      <c r="ED19" s="261">
        <v>21.642384967320261</v>
      </c>
      <c r="EE19" s="261">
        <v>12.209782516339869</v>
      </c>
      <c r="EF19" s="261">
        <v>10.369604738562092</v>
      </c>
      <c r="EG19" s="261">
        <v>30.036504738562094</v>
      </c>
      <c r="EH19" s="261">
        <v>28.63945800653595</v>
      </c>
      <c r="EI19" s="261">
        <v>54.29539248366013</v>
      </c>
      <c r="EJ19" s="261">
        <v>8.6410553921568631</v>
      </c>
      <c r="EK19" s="261">
        <v>12.918453921568629</v>
      </c>
      <c r="EL19" s="261">
        <v>35.11221568627451</v>
      </c>
      <c r="EM19" s="261">
        <v>21.429276143790851</v>
      </c>
      <c r="EN19" s="261">
        <v>23.646622712418303</v>
      </c>
      <c r="EO19" s="261">
        <v>51.39136192810458</v>
      </c>
      <c r="EP19" s="261">
        <v>16.030519281045752</v>
      </c>
      <c r="EQ19" s="261">
        <v>40.747760130718959</v>
      </c>
      <c r="ER19" s="261">
        <v>78.476478594771251</v>
      </c>
      <c r="ES19" s="261">
        <v>7.9290013071895427</v>
      </c>
      <c r="ET19" s="261">
        <v>23.746411764705883</v>
      </c>
      <c r="EU19" s="261">
        <v>12.490544934640523</v>
      </c>
      <c r="EV19" s="261">
        <v>8.7273137254901965</v>
      </c>
      <c r="EW19" s="261">
        <v>42.867008986928106</v>
      </c>
      <c r="EX19" s="261">
        <v>47.48267549019608</v>
      </c>
      <c r="EY19" s="261">
        <v>21.811518954248367</v>
      </c>
      <c r="EZ19" s="261">
        <v>30.263144281045754</v>
      </c>
      <c r="FA19" s="261">
        <v>27.233954575163398</v>
      </c>
      <c r="FB19" s="261">
        <v>32.255542647058824</v>
      </c>
      <c r="FC19" s="261">
        <v>38.790879901960786</v>
      </c>
      <c r="FD19" s="261">
        <v>21.742174019607845</v>
      </c>
      <c r="FE19" s="261">
        <v>22.675793627450982</v>
      </c>
      <c r="FF19" s="261">
        <v>21.738791339869284</v>
      </c>
      <c r="FG19" s="261">
        <v>18.373025000000002</v>
      </c>
      <c r="FH19" s="261">
        <v>16.615722875816996</v>
      </c>
      <c r="FI19" s="261">
        <v>13.58484183006536</v>
      </c>
      <c r="FJ19" s="261">
        <v>26.504987091503271</v>
      </c>
      <c r="FK19" s="261">
        <v>7.5670545751633993</v>
      </c>
      <c r="FL19" s="261">
        <v>33.884302941176472</v>
      </c>
      <c r="FM19" s="261">
        <v>29.808173856209152</v>
      </c>
      <c r="FN19" s="261">
        <v>13.085896568627451</v>
      </c>
      <c r="FO19" s="261">
        <v>17.388665196078431</v>
      </c>
      <c r="FP19" s="261">
        <v>33.537578267973856</v>
      </c>
      <c r="FQ19" s="261">
        <v>12.685049019607844</v>
      </c>
      <c r="FR19" s="261">
        <v>8.7509924836601307</v>
      </c>
      <c r="FS19" s="261">
        <v>24.4855272875817</v>
      </c>
      <c r="FT19" s="261">
        <v>6.2190566993464058</v>
      </c>
      <c r="FU19" s="261">
        <v>15.651659150326799</v>
      </c>
      <c r="FV19" s="261">
        <v>29.551090196078434</v>
      </c>
      <c r="FW19" s="261">
        <v>5.8520359477124186</v>
      </c>
      <c r="FX19" s="261">
        <v>69.852336601307186</v>
      </c>
      <c r="FY19" s="261">
        <v>52.974456045751637</v>
      </c>
      <c r="FZ19" s="261">
        <v>13.444460620915033</v>
      </c>
      <c r="GA19" s="261">
        <v>40.26911094771242</v>
      </c>
      <c r="GB19" s="261">
        <v>43.650099346405234</v>
      </c>
      <c r="GC19" s="261">
        <v>21.554435294117649</v>
      </c>
      <c r="GD19" s="261">
        <v>14.591189052287582</v>
      </c>
      <c r="GE19" s="261">
        <v>24.933732352941178</v>
      </c>
      <c r="GF19" s="261">
        <v>12.539593790849674</v>
      </c>
      <c r="GG19" s="261">
        <v>16.576822058823531</v>
      </c>
      <c r="GH19" s="261">
        <v>13.145093464052287</v>
      </c>
      <c r="GI19" s="261">
        <v>8.2165290849673198</v>
      </c>
      <c r="GJ19" s="261">
        <v>6.2985496732026149</v>
      </c>
      <c r="GK19" s="261">
        <v>12.375533823529413</v>
      </c>
      <c r="GL19" s="261">
        <v>13.640656045751635</v>
      </c>
      <c r="GM19" s="261">
        <v>15.108739052287582</v>
      </c>
      <c r="GN19" s="261">
        <v>20.382336764705883</v>
      </c>
      <c r="GO19" s="261">
        <v>59.371103431372553</v>
      </c>
      <c r="GP19" s="261">
        <v>25.740501470588235</v>
      </c>
      <c r="GQ19" s="261">
        <v>11.326903104575164</v>
      </c>
      <c r="GR19" s="261">
        <v>42.373137745098042</v>
      </c>
      <c r="GS19" s="261">
        <v>19.966267156862745</v>
      </c>
      <c r="GT19" s="261">
        <v>27.042833169934642</v>
      </c>
      <c r="GU19" s="261">
        <v>9.2161109477124192</v>
      </c>
      <c r="GV19" s="261">
        <v>20.801789052287582</v>
      </c>
      <c r="GW19" s="261">
        <v>38.848385457516343</v>
      </c>
      <c r="GX19" s="261">
        <v>6.6046821895424843</v>
      </c>
      <c r="GY19" s="261">
        <v>24.406034313725492</v>
      </c>
      <c r="GZ19" s="261">
        <v>24.850856699346405</v>
      </c>
      <c r="HA19" s="261">
        <v>20.678321241830066</v>
      </c>
      <c r="HB19" s="261">
        <v>6.7704334967320268</v>
      </c>
      <c r="HC19" s="261">
        <v>4.1082645424836599</v>
      </c>
      <c r="HD19" s="261">
        <v>11.758194771241831</v>
      </c>
      <c r="HE19" s="261">
        <v>8.8068066993464065</v>
      </c>
      <c r="HF19" s="261">
        <v>33.671194117647062</v>
      </c>
      <c r="HG19" s="261">
        <v>14.312117973856211</v>
      </c>
      <c r="HH19" s="261">
        <v>20.260560294117649</v>
      </c>
      <c r="HI19" s="261">
        <v>68.71744754901961</v>
      </c>
      <c r="HJ19" s="261">
        <v>51.897072549019612</v>
      </c>
      <c r="HK19" s="261">
        <v>28.734173039215687</v>
      </c>
      <c r="HL19" s="261">
        <v>4.8862808823529411</v>
      </c>
      <c r="HM19" s="261">
        <v>18.844908823529412</v>
      </c>
      <c r="HN19" s="261">
        <v>26.462703594771241</v>
      </c>
      <c r="HO19" s="261">
        <v>21.659298366013072</v>
      </c>
      <c r="HP19" s="261">
        <v>12.512532352941177</v>
      </c>
      <c r="HQ19" s="261">
        <v>15.518043300653595</v>
      </c>
      <c r="HR19" s="261">
        <v>10.078694281045752</v>
      </c>
      <c r="HS19" s="261">
        <v>9.2702338235294128</v>
      </c>
      <c r="HT19" s="261">
        <v>13.559471732026145</v>
      </c>
      <c r="HU19" s="261">
        <v>27.746430555555555</v>
      </c>
      <c r="HV19" s="261">
        <v>14.242773039215686</v>
      </c>
      <c r="HW19" s="261">
        <v>17.666044934640524</v>
      </c>
      <c r="HX19" s="261">
        <v>10.119286437908498</v>
      </c>
      <c r="HY19" s="261">
        <v>9.2144196078431371</v>
      </c>
      <c r="HZ19" s="261">
        <v>17.605156699346406</v>
      </c>
      <c r="IA19" s="261">
        <v>28.724025000000001</v>
      </c>
      <c r="IB19" s="261">
        <v>15.228824183006537</v>
      </c>
      <c r="IC19" s="261">
        <v>5.5526687908496735</v>
      </c>
      <c r="ID19" s="261">
        <v>6.6655704248366012</v>
      </c>
      <c r="IE19" s="261">
        <v>17.647440196078431</v>
      </c>
      <c r="IF19" s="261">
        <v>50.105943627450984</v>
      </c>
      <c r="IG19" s="261">
        <v>21.187414542483662</v>
      </c>
      <c r="IH19" s="261">
        <v>6.9040493464052295</v>
      </c>
      <c r="II19" s="261">
        <v>5.5374467320261438</v>
      </c>
      <c r="IJ19" s="261">
        <v>24.123580555555556</v>
      </c>
      <c r="IK19" s="261">
        <v>19.279583169934643</v>
      </c>
      <c r="IL19" s="261">
        <v>25.239864869281046</v>
      </c>
      <c r="IM19" s="261">
        <v>9.0097674836601307</v>
      </c>
      <c r="IN19" s="261">
        <v>23.472414705882354</v>
      </c>
      <c r="IO19" s="261">
        <v>47.707623692810458</v>
      </c>
      <c r="IP19" s="261">
        <v>10.827957843137256</v>
      </c>
      <c r="IQ19" s="261">
        <v>21.985726960784316</v>
      </c>
      <c r="IR19" s="261">
        <v>13.752284477124183</v>
      </c>
      <c r="IS19" s="261">
        <v>14.882099509803922</v>
      </c>
      <c r="IT19" s="261">
        <v>2.5099483660130719</v>
      </c>
      <c r="IU19" s="261">
        <v>7.6347081699346413</v>
      </c>
      <c r="IV19" s="261">
        <v>25.422529575163399</v>
      </c>
      <c r="IW19" s="261">
        <v>10.305333823529413</v>
      </c>
      <c r="IX19" s="261">
        <v>27.710912418300655</v>
      </c>
      <c r="IY19" s="261">
        <v>22.893976470588235</v>
      </c>
      <c r="IZ19" s="261">
        <v>30.288514379084969</v>
      </c>
      <c r="JA19" s="261">
        <v>12.360311764705884</v>
      </c>
      <c r="JB19" s="261">
        <v>33.757452450980395</v>
      </c>
      <c r="JC19" s="261">
        <v>22.403487908496732</v>
      </c>
      <c r="JD19" s="261">
        <v>46.097468137254907</v>
      </c>
      <c r="JE19" s="261">
        <v>354.37629477124187</v>
      </c>
      <c r="JF19" s="261">
        <v>0.7340415032679739</v>
      </c>
      <c r="JG19" s="261">
        <v>15.497747222222223</v>
      </c>
      <c r="JH19" s="261">
        <v>25.337962581699347</v>
      </c>
      <c r="JI19" s="261">
        <v>5.234696895424837</v>
      </c>
      <c r="JJ19" s="261">
        <v>46.601487418300657</v>
      </c>
      <c r="JK19" s="261">
        <v>0</v>
      </c>
      <c r="JL19" s="261">
        <v>22.797570098039216</v>
      </c>
      <c r="JM19" s="261">
        <v>6.8499264705882359</v>
      </c>
      <c r="JN19" s="261">
        <v>6.5454852941176478</v>
      </c>
      <c r="JO19" s="261">
        <v>14.251229738562092</v>
      </c>
      <c r="JP19" s="261">
        <v>51.058167973856214</v>
      </c>
      <c r="JQ19" s="261">
        <v>15.076603594771242</v>
      </c>
      <c r="JR19" s="261">
        <v>17.804734803921569</v>
      </c>
      <c r="JS19" s="261">
        <v>31.692326470588238</v>
      </c>
      <c r="JT19" s="261">
        <v>25.429294934640524</v>
      </c>
      <c r="JU19" s="261">
        <v>10.70449003267974</v>
      </c>
      <c r="JV19" s="261">
        <v>8.9285831699346403</v>
      </c>
      <c r="JW19" s="261">
        <v>21.106230228758172</v>
      </c>
      <c r="JX19" s="261">
        <v>9.2397897058823535</v>
      </c>
      <c r="JY19" s="261">
        <v>12.657987581699347</v>
      </c>
      <c r="JZ19" s="261">
        <v>15.014024019607843</v>
      </c>
      <c r="KA19" s="261">
        <v>27.502877614379088</v>
      </c>
      <c r="KB19" s="261">
        <v>15.250811601307189</v>
      </c>
      <c r="KC19" s="261">
        <v>32.999732189542485</v>
      </c>
      <c r="KD19" s="261">
        <v>57.10978202614379</v>
      </c>
      <c r="KE19" s="261">
        <v>37.16381094771242</v>
      </c>
      <c r="KF19" s="261">
        <v>2.7805627450980395</v>
      </c>
      <c r="KG19" s="261">
        <v>10.310407843137256</v>
      </c>
      <c r="KH19" s="261">
        <v>18.878735620915034</v>
      </c>
      <c r="KI19" s="261">
        <v>15.189923366013073</v>
      </c>
      <c r="KJ19" s="261">
        <v>23.732881045751636</v>
      </c>
      <c r="KK19" s="261">
        <v>56.722465196078431</v>
      </c>
      <c r="KL19" s="261">
        <v>11.864749183006536</v>
      </c>
      <c r="KM19" s="261">
        <v>21.987418300653594</v>
      </c>
      <c r="KN19" s="261">
        <v>17.838561601307191</v>
      </c>
      <c r="KO19" s="261">
        <v>19.815737908496732</v>
      </c>
      <c r="KP19" s="261">
        <v>22.335834313725492</v>
      </c>
      <c r="KQ19" s="261">
        <v>7.0545785947712423</v>
      </c>
      <c r="KR19" s="261">
        <v>16.103246895424839</v>
      </c>
      <c r="KS19" s="261">
        <v>9.6287978758169945</v>
      </c>
      <c r="KT19" s="261">
        <v>56.010411111111111</v>
      </c>
      <c r="KU19" s="261">
        <v>22.85169297385621</v>
      </c>
      <c r="KV19" s="261">
        <v>5.5492861111111118</v>
      </c>
      <c r="KW19" s="261">
        <v>9.9721398692810457</v>
      </c>
      <c r="KX19" s="261">
        <v>20.209820098039216</v>
      </c>
      <c r="KY19" s="261">
        <v>18.684231535947713</v>
      </c>
      <c r="KZ19" s="261">
        <v>31.898669934640523</v>
      </c>
      <c r="LA19" s="261">
        <v>13.547632352941177</v>
      </c>
      <c r="LB19" s="261">
        <v>25.55276274509804</v>
      </c>
      <c r="LC19" s="261">
        <v>39.675450653594773</v>
      </c>
      <c r="LD19" s="261">
        <v>56.460307516339874</v>
      </c>
      <c r="LE19" s="261">
        <v>24.106667156862745</v>
      </c>
      <c r="LF19" s="261">
        <v>33.654280718954247</v>
      </c>
      <c r="LG19" s="261">
        <v>45.290699019607843</v>
      </c>
      <c r="LH19" s="261">
        <v>0.96237238562091509</v>
      </c>
      <c r="LI19" s="261">
        <v>28.703728921568629</v>
      </c>
      <c r="LJ19" s="261">
        <v>8.4482426470588248</v>
      </c>
      <c r="LK19" s="261">
        <v>12.108302124183007</v>
      </c>
      <c r="LL19" s="261">
        <v>13.799641993464054</v>
      </c>
      <c r="LM19" s="261">
        <v>12.001747712418302</v>
      </c>
      <c r="LN19" s="261">
        <v>29.82339591503268</v>
      </c>
      <c r="LO19" s="261">
        <v>8.392428431372549</v>
      </c>
      <c r="LP19" s="261">
        <v>27.568839869281046</v>
      </c>
      <c r="LQ19" s="261">
        <v>16.240245424836601</v>
      </c>
      <c r="LR19" s="261">
        <v>13.490126797385622</v>
      </c>
      <c r="LS19" s="261">
        <v>13.053761111111111</v>
      </c>
      <c r="LT19" s="261">
        <v>8.3873544117647061</v>
      </c>
      <c r="LU19" s="261">
        <v>29.808173856209152</v>
      </c>
      <c r="LV19" s="261">
        <v>9.4478245098039224</v>
      </c>
      <c r="LW19" s="261">
        <v>29.03015751633987</v>
      </c>
      <c r="LX19" s="261">
        <v>11.636418300653595</v>
      </c>
      <c r="LY19" s="261">
        <v>38.259799183006535</v>
      </c>
      <c r="LZ19" s="261">
        <v>12.279127450980393</v>
      </c>
      <c r="MA19" s="261">
        <v>8.1438014705882349</v>
      </c>
      <c r="MB19" s="261">
        <v>17.07745866013072</v>
      </c>
      <c r="MC19" s="261">
        <v>58.914441666666669</v>
      </c>
      <c r="MD19" s="261">
        <v>16.556525980392159</v>
      </c>
      <c r="ME19" s="261">
        <v>7.5450671568627454</v>
      </c>
      <c r="MF19" s="261">
        <v>14.046577614379085</v>
      </c>
      <c r="MG19" s="261">
        <v>22.146404248366014</v>
      </c>
      <c r="MH19" s="261">
        <v>12.492236274509805</v>
      </c>
      <c r="MI19" s="261">
        <v>13.348054248366013</v>
      </c>
      <c r="MJ19" s="261">
        <v>15.646585130718956</v>
      </c>
      <c r="MK19" s="261">
        <v>14.379771568627453</v>
      </c>
      <c r="ML19" s="261">
        <v>26.472851633986931</v>
      </c>
      <c r="MM19" s="261">
        <v>15.416562908496733</v>
      </c>
      <c r="MN19" s="261">
        <v>9.2380983660130731</v>
      </c>
      <c r="MO19" s="261">
        <v>6.433856862745098</v>
      </c>
      <c r="MP19" s="261">
        <v>84.059591503267981</v>
      </c>
      <c r="MQ19" s="261">
        <v>16.143839052287582</v>
      </c>
      <c r="MR19" s="261">
        <v>12.153968300653595</v>
      </c>
      <c r="MS19" s="261">
        <v>10.185248692810458</v>
      </c>
      <c r="MT19" s="261">
        <v>28.904998366013075</v>
      </c>
      <c r="MU19" s="261">
        <v>25.803081045751636</v>
      </c>
      <c r="MV19" s="261">
        <v>66.792702777777777</v>
      </c>
      <c r="MW19" s="261">
        <v>4.233423692810458</v>
      </c>
      <c r="MX19" s="261">
        <v>21.750630718954248</v>
      </c>
      <c r="MY19" s="261">
        <v>12.214856535947714</v>
      </c>
      <c r="MZ19" s="261">
        <v>23.095245915032681</v>
      </c>
      <c r="NA19" s="261">
        <v>12.722258496732026</v>
      </c>
      <c r="NB19" s="261">
        <v>26.872007843137258</v>
      </c>
      <c r="NC19" s="261">
        <v>56.791810130718957</v>
      </c>
      <c r="ND19" s="261">
        <v>56</v>
      </c>
    </row>
    <row r="20" spans="1:368" s="255" customFormat="1" ht="14.4" x14ac:dyDescent="0.3">
      <c r="A20" s="254"/>
      <c r="B20" s="257"/>
      <c r="E20" s="255" t="s">
        <v>433</v>
      </c>
      <c r="F20" s="255" t="s">
        <v>407</v>
      </c>
      <c r="G20" s="255" t="s">
        <v>28</v>
      </c>
      <c r="H20" s="255" t="s">
        <v>1163</v>
      </c>
      <c r="K20" s="255">
        <f t="shared" si="6"/>
        <v>19</v>
      </c>
      <c r="M20" s="255">
        <v>65</v>
      </c>
      <c r="N20" s="255">
        <v>65</v>
      </c>
      <c r="O20" s="255">
        <v>65</v>
      </c>
      <c r="P20" s="255">
        <v>65</v>
      </c>
      <c r="Q20" s="255">
        <v>65</v>
      </c>
      <c r="R20" s="255">
        <v>65</v>
      </c>
      <c r="S20" s="255">
        <v>65</v>
      </c>
      <c r="T20" s="255">
        <v>65</v>
      </c>
      <c r="U20" s="255">
        <v>65</v>
      </c>
      <c r="V20" s="255">
        <v>65</v>
      </c>
      <c r="W20" s="255">
        <v>65</v>
      </c>
      <c r="X20" s="255">
        <v>65</v>
      </c>
      <c r="Y20" s="255">
        <v>65</v>
      </c>
      <c r="Z20" s="255">
        <v>65</v>
      </c>
      <c r="AA20" s="255">
        <v>65</v>
      </c>
      <c r="AB20" s="255">
        <v>65</v>
      </c>
      <c r="AC20" s="255">
        <v>65</v>
      </c>
      <c r="AD20" s="255">
        <v>65</v>
      </c>
      <c r="AE20" s="255">
        <v>65</v>
      </c>
      <c r="AF20" s="255">
        <v>65</v>
      </c>
      <c r="AG20" s="255">
        <v>65</v>
      </c>
      <c r="AH20" s="255">
        <v>65</v>
      </c>
      <c r="AI20" s="255">
        <v>65</v>
      </c>
      <c r="AJ20" s="255">
        <v>65</v>
      </c>
      <c r="AK20" s="255">
        <v>65</v>
      </c>
      <c r="AL20" s="255">
        <v>65</v>
      </c>
      <c r="AM20" s="255">
        <v>65</v>
      </c>
      <c r="AN20" s="255">
        <v>65</v>
      </c>
      <c r="AO20" s="255">
        <v>65</v>
      </c>
      <c r="AP20" s="255">
        <v>65</v>
      </c>
      <c r="AQ20" s="255">
        <v>65</v>
      </c>
      <c r="AR20" s="255">
        <v>65</v>
      </c>
      <c r="AS20" s="255">
        <v>65</v>
      </c>
      <c r="AT20" s="255">
        <v>65</v>
      </c>
      <c r="AU20" s="255">
        <v>65</v>
      </c>
      <c r="AV20" s="255">
        <v>65</v>
      </c>
      <c r="AW20" s="255">
        <v>65</v>
      </c>
      <c r="AX20" s="255">
        <v>65</v>
      </c>
      <c r="AY20" s="255">
        <v>65</v>
      </c>
      <c r="AZ20" s="255">
        <v>65</v>
      </c>
      <c r="BA20" s="255">
        <v>65</v>
      </c>
      <c r="BB20" s="255">
        <v>65</v>
      </c>
      <c r="BC20" s="255">
        <v>65</v>
      </c>
      <c r="BD20" s="255">
        <v>65</v>
      </c>
      <c r="BE20" s="255">
        <v>65</v>
      </c>
      <c r="BF20" s="255">
        <v>65</v>
      </c>
      <c r="BG20" s="255">
        <v>65</v>
      </c>
      <c r="BH20" s="255">
        <v>65</v>
      </c>
      <c r="BI20" s="255">
        <v>65</v>
      </c>
      <c r="BJ20" s="255">
        <v>65</v>
      </c>
      <c r="BK20" s="255">
        <v>65</v>
      </c>
      <c r="BL20" s="255">
        <v>65</v>
      </c>
      <c r="BM20" s="255">
        <v>65</v>
      </c>
      <c r="BN20" s="255">
        <v>65</v>
      </c>
      <c r="BO20" s="255">
        <v>65</v>
      </c>
      <c r="BP20" s="255">
        <v>65</v>
      </c>
      <c r="BQ20" s="255">
        <v>65</v>
      </c>
      <c r="BR20" s="255">
        <v>65</v>
      </c>
      <c r="BS20" s="255">
        <v>65</v>
      </c>
      <c r="BT20" s="255">
        <v>65</v>
      </c>
      <c r="BU20" s="255">
        <v>65</v>
      </c>
      <c r="BV20" s="255">
        <v>65</v>
      </c>
      <c r="BW20" s="255">
        <v>65</v>
      </c>
      <c r="BX20" s="255">
        <v>65</v>
      </c>
      <c r="BY20" s="255">
        <v>65</v>
      </c>
      <c r="BZ20" s="255">
        <v>65</v>
      </c>
      <c r="CA20" s="255">
        <v>65</v>
      </c>
      <c r="CB20" s="255">
        <v>65</v>
      </c>
      <c r="CC20" s="255">
        <v>65</v>
      </c>
      <c r="CD20" s="255">
        <v>65</v>
      </c>
      <c r="CE20" s="255">
        <v>65</v>
      </c>
      <c r="CF20" s="255">
        <v>65</v>
      </c>
      <c r="CG20" s="255">
        <v>65</v>
      </c>
      <c r="CH20" s="255">
        <v>65</v>
      </c>
      <c r="CI20" s="255">
        <v>65</v>
      </c>
      <c r="CJ20" s="255">
        <v>65</v>
      </c>
      <c r="CK20" s="255">
        <v>65</v>
      </c>
      <c r="CL20" s="255">
        <v>65</v>
      </c>
      <c r="CM20" s="255">
        <v>65</v>
      </c>
      <c r="CN20" s="255">
        <v>65</v>
      </c>
      <c r="CO20" s="255">
        <v>65</v>
      </c>
      <c r="CP20" s="255">
        <v>65</v>
      </c>
      <c r="CQ20" s="255">
        <v>65</v>
      </c>
      <c r="CR20" s="255">
        <v>65</v>
      </c>
      <c r="CS20" s="255">
        <v>65</v>
      </c>
      <c r="CT20" s="255">
        <v>65</v>
      </c>
      <c r="CU20" s="255">
        <v>65</v>
      </c>
      <c r="CV20" s="255">
        <v>65</v>
      </c>
      <c r="CW20" s="255">
        <v>65</v>
      </c>
      <c r="CX20" s="255">
        <v>65</v>
      </c>
      <c r="CY20" s="255">
        <v>65</v>
      </c>
      <c r="CZ20" s="255">
        <v>65</v>
      </c>
      <c r="DA20" s="255">
        <v>65</v>
      </c>
      <c r="DB20" s="255">
        <v>65</v>
      </c>
      <c r="DC20" s="255">
        <v>65</v>
      </c>
      <c r="DD20" s="255">
        <v>65</v>
      </c>
      <c r="DE20" s="255">
        <v>65</v>
      </c>
      <c r="DF20" s="255">
        <v>65</v>
      </c>
      <c r="DG20" s="255">
        <v>65</v>
      </c>
      <c r="DH20" s="255">
        <v>65</v>
      </c>
      <c r="DI20" s="255">
        <v>65</v>
      </c>
      <c r="DJ20" s="255">
        <v>65</v>
      </c>
      <c r="DK20" s="255">
        <v>65</v>
      </c>
      <c r="DL20" s="255">
        <v>65</v>
      </c>
      <c r="DM20" s="255">
        <v>65</v>
      </c>
      <c r="DN20" s="255">
        <v>65</v>
      </c>
      <c r="DO20" s="255">
        <v>65</v>
      </c>
      <c r="DP20" s="255">
        <v>65</v>
      </c>
      <c r="DQ20" s="255">
        <v>65</v>
      </c>
      <c r="DR20" s="255">
        <v>65</v>
      </c>
      <c r="DS20" s="255">
        <v>65</v>
      </c>
      <c r="DT20" s="255">
        <v>65</v>
      </c>
      <c r="DU20" s="255">
        <v>65</v>
      </c>
      <c r="DV20" s="255">
        <v>65</v>
      </c>
      <c r="DW20" s="255">
        <v>65</v>
      </c>
      <c r="DX20" s="255">
        <v>65</v>
      </c>
      <c r="DY20" s="255">
        <v>65</v>
      </c>
      <c r="DZ20" s="255">
        <v>65</v>
      </c>
      <c r="EA20" s="255">
        <v>65</v>
      </c>
      <c r="EB20" s="255">
        <v>65</v>
      </c>
      <c r="EC20" s="255">
        <v>65</v>
      </c>
      <c r="ED20" s="255">
        <v>65</v>
      </c>
      <c r="EE20" s="255">
        <v>65</v>
      </c>
      <c r="EF20" s="255">
        <v>65</v>
      </c>
      <c r="EG20" s="255">
        <v>65</v>
      </c>
      <c r="EH20" s="255">
        <v>65</v>
      </c>
      <c r="EI20" s="255">
        <v>65</v>
      </c>
      <c r="EJ20" s="255">
        <v>65</v>
      </c>
      <c r="EK20" s="255">
        <v>65</v>
      </c>
      <c r="EL20" s="255">
        <v>65</v>
      </c>
      <c r="EM20" s="255">
        <v>65</v>
      </c>
      <c r="EN20" s="255">
        <v>65</v>
      </c>
      <c r="EO20" s="255">
        <v>65</v>
      </c>
      <c r="EP20" s="255">
        <v>65</v>
      </c>
      <c r="EQ20" s="255">
        <v>65</v>
      </c>
      <c r="ER20" s="255">
        <v>65</v>
      </c>
      <c r="ES20" s="255">
        <v>65</v>
      </c>
      <c r="ET20" s="255">
        <v>65</v>
      </c>
      <c r="EU20" s="255">
        <v>65</v>
      </c>
      <c r="EV20" s="255">
        <v>65</v>
      </c>
      <c r="EW20" s="255">
        <v>65</v>
      </c>
      <c r="EX20" s="255">
        <v>65</v>
      </c>
      <c r="EY20" s="255">
        <v>65</v>
      </c>
      <c r="EZ20" s="255">
        <v>65</v>
      </c>
      <c r="FA20" s="255">
        <v>65</v>
      </c>
      <c r="FB20" s="255">
        <v>65</v>
      </c>
      <c r="FC20" s="255">
        <v>65</v>
      </c>
      <c r="FD20" s="255">
        <v>65</v>
      </c>
      <c r="FE20" s="255">
        <v>65</v>
      </c>
      <c r="FF20" s="255">
        <v>65</v>
      </c>
      <c r="FG20" s="255">
        <v>65</v>
      </c>
      <c r="FH20" s="255">
        <v>65</v>
      </c>
      <c r="FI20" s="255">
        <v>65</v>
      </c>
      <c r="FJ20" s="255">
        <v>65</v>
      </c>
      <c r="FK20" s="255">
        <v>65</v>
      </c>
      <c r="FL20" s="255">
        <v>65</v>
      </c>
      <c r="FM20" s="255">
        <v>65</v>
      </c>
      <c r="FN20" s="255">
        <v>65</v>
      </c>
      <c r="FO20" s="255">
        <v>65</v>
      </c>
      <c r="FP20" s="255">
        <v>65</v>
      </c>
      <c r="FQ20" s="255">
        <v>65</v>
      </c>
      <c r="FR20" s="255">
        <v>65</v>
      </c>
      <c r="FS20" s="255">
        <v>65</v>
      </c>
      <c r="FT20" s="255">
        <v>65</v>
      </c>
      <c r="FU20" s="255">
        <v>65</v>
      </c>
      <c r="FV20" s="255">
        <v>65</v>
      </c>
      <c r="FW20" s="255">
        <v>65</v>
      </c>
      <c r="FX20" s="255">
        <v>65</v>
      </c>
      <c r="FY20" s="255">
        <v>65</v>
      </c>
      <c r="FZ20" s="255">
        <v>65</v>
      </c>
      <c r="GA20" s="255">
        <v>65</v>
      </c>
      <c r="GB20" s="255">
        <v>65</v>
      </c>
      <c r="GC20" s="255">
        <v>65</v>
      </c>
      <c r="GD20" s="255">
        <v>65</v>
      </c>
      <c r="GE20" s="255">
        <v>65</v>
      </c>
      <c r="GF20" s="255">
        <v>65</v>
      </c>
      <c r="GG20" s="255">
        <v>65</v>
      </c>
      <c r="GH20" s="255">
        <v>65</v>
      </c>
      <c r="GI20" s="255">
        <v>65</v>
      </c>
      <c r="GJ20" s="255">
        <v>65</v>
      </c>
      <c r="GK20" s="255">
        <v>65</v>
      </c>
      <c r="GL20" s="255">
        <v>65</v>
      </c>
      <c r="GM20" s="255">
        <v>65</v>
      </c>
      <c r="GN20" s="255">
        <v>65</v>
      </c>
      <c r="GO20" s="255">
        <v>65</v>
      </c>
      <c r="GP20" s="255">
        <v>65</v>
      </c>
      <c r="GQ20" s="255">
        <v>65</v>
      </c>
      <c r="GR20" s="255">
        <v>65</v>
      </c>
      <c r="GS20" s="255">
        <v>65</v>
      </c>
      <c r="GT20" s="255">
        <v>65</v>
      </c>
      <c r="GU20" s="255">
        <v>65</v>
      </c>
      <c r="GV20" s="255">
        <v>65</v>
      </c>
      <c r="GW20" s="255">
        <v>65</v>
      </c>
      <c r="GX20" s="255">
        <v>65</v>
      </c>
      <c r="GY20" s="255">
        <v>65</v>
      </c>
      <c r="GZ20" s="255">
        <v>65</v>
      </c>
      <c r="HA20" s="255">
        <v>65</v>
      </c>
      <c r="HB20" s="255">
        <v>65</v>
      </c>
      <c r="HC20" s="255">
        <v>65</v>
      </c>
      <c r="HD20" s="255">
        <v>65</v>
      </c>
      <c r="HE20" s="255">
        <v>65</v>
      </c>
      <c r="HF20" s="255">
        <v>65</v>
      </c>
      <c r="HG20" s="255">
        <v>65</v>
      </c>
      <c r="HH20" s="255">
        <v>65</v>
      </c>
      <c r="HI20" s="255">
        <v>65</v>
      </c>
      <c r="HJ20" s="255">
        <v>65</v>
      </c>
      <c r="HK20" s="255">
        <v>65</v>
      </c>
      <c r="HL20" s="255">
        <v>65</v>
      </c>
      <c r="HM20" s="255">
        <v>65</v>
      </c>
      <c r="HN20" s="255">
        <v>65</v>
      </c>
      <c r="HO20" s="255">
        <v>65</v>
      </c>
      <c r="HP20" s="255">
        <v>65</v>
      </c>
      <c r="HQ20" s="255">
        <v>65</v>
      </c>
      <c r="HR20" s="255">
        <v>65</v>
      </c>
      <c r="HS20" s="255">
        <v>65</v>
      </c>
      <c r="HT20" s="255">
        <v>65</v>
      </c>
      <c r="HU20" s="255">
        <v>65</v>
      </c>
      <c r="HV20" s="255">
        <v>65</v>
      </c>
      <c r="HW20" s="255">
        <v>65</v>
      </c>
      <c r="HX20" s="255">
        <v>65</v>
      </c>
      <c r="HY20" s="255">
        <v>65</v>
      </c>
      <c r="HZ20" s="255">
        <v>65</v>
      </c>
      <c r="IA20" s="255">
        <v>65</v>
      </c>
      <c r="IB20" s="255">
        <v>65</v>
      </c>
      <c r="IC20" s="255">
        <v>65</v>
      </c>
      <c r="ID20" s="255">
        <v>65</v>
      </c>
      <c r="IE20" s="255">
        <v>65</v>
      </c>
      <c r="IF20" s="255">
        <v>65</v>
      </c>
      <c r="IG20" s="255">
        <v>65</v>
      </c>
      <c r="IH20" s="255">
        <v>65</v>
      </c>
      <c r="II20" s="255">
        <v>65</v>
      </c>
      <c r="IJ20" s="255">
        <v>65</v>
      </c>
      <c r="IK20" s="255">
        <v>65</v>
      </c>
      <c r="IL20" s="255">
        <v>65</v>
      </c>
      <c r="IM20" s="255">
        <v>65</v>
      </c>
      <c r="IN20" s="255">
        <v>65</v>
      </c>
      <c r="IO20" s="255">
        <v>65</v>
      </c>
      <c r="IP20" s="255">
        <v>65</v>
      </c>
      <c r="IQ20" s="255">
        <v>65</v>
      </c>
      <c r="IR20" s="255">
        <v>65</v>
      </c>
      <c r="IS20" s="255">
        <v>65</v>
      </c>
      <c r="IT20" s="255">
        <v>65</v>
      </c>
      <c r="IU20" s="255">
        <v>65</v>
      </c>
      <c r="IV20" s="255">
        <v>65</v>
      </c>
      <c r="IW20" s="255">
        <v>65</v>
      </c>
      <c r="IX20" s="255">
        <v>65</v>
      </c>
      <c r="IY20" s="255">
        <v>65</v>
      </c>
      <c r="IZ20" s="255">
        <v>65</v>
      </c>
      <c r="JA20" s="255">
        <v>65</v>
      </c>
      <c r="JB20" s="255">
        <v>65</v>
      </c>
      <c r="JC20" s="255">
        <v>65</v>
      </c>
      <c r="JD20" s="255">
        <v>65</v>
      </c>
      <c r="JE20" s="255">
        <v>65</v>
      </c>
      <c r="JF20" s="255">
        <v>65</v>
      </c>
      <c r="JG20" s="255">
        <v>65</v>
      </c>
      <c r="JH20" s="255">
        <v>65</v>
      </c>
      <c r="JI20" s="255">
        <v>65</v>
      </c>
      <c r="JJ20" s="255">
        <v>65</v>
      </c>
      <c r="JK20" s="255">
        <v>65</v>
      </c>
      <c r="JL20" s="255">
        <v>65</v>
      </c>
      <c r="JM20" s="255">
        <v>65</v>
      </c>
      <c r="JN20" s="255">
        <v>65</v>
      </c>
      <c r="JO20" s="255">
        <v>65</v>
      </c>
      <c r="JP20" s="255">
        <v>65</v>
      </c>
      <c r="JQ20" s="255">
        <v>65</v>
      </c>
      <c r="JR20" s="255">
        <v>65</v>
      </c>
      <c r="JS20" s="255">
        <v>65</v>
      </c>
      <c r="JT20" s="255">
        <v>65</v>
      </c>
      <c r="JU20" s="255">
        <v>65</v>
      </c>
      <c r="JV20" s="255">
        <v>65</v>
      </c>
      <c r="JW20" s="255">
        <v>65</v>
      </c>
      <c r="JX20" s="255">
        <v>65</v>
      </c>
      <c r="JY20" s="255">
        <v>65</v>
      </c>
      <c r="JZ20" s="255">
        <v>65</v>
      </c>
      <c r="KA20" s="255">
        <v>65</v>
      </c>
      <c r="KB20" s="255">
        <v>65</v>
      </c>
      <c r="KC20" s="255">
        <v>65</v>
      </c>
      <c r="KD20" s="255">
        <v>65</v>
      </c>
      <c r="KE20" s="255">
        <v>65</v>
      </c>
      <c r="KF20" s="255">
        <v>65</v>
      </c>
      <c r="KG20" s="255">
        <v>65</v>
      </c>
      <c r="KH20" s="255">
        <v>65</v>
      </c>
      <c r="KI20" s="255">
        <v>65</v>
      </c>
      <c r="KJ20" s="255">
        <v>65</v>
      </c>
      <c r="KK20" s="255">
        <v>65</v>
      </c>
      <c r="KL20" s="255">
        <v>65</v>
      </c>
      <c r="KM20" s="255">
        <v>65</v>
      </c>
      <c r="KN20" s="255">
        <v>65</v>
      </c>
      <c r="KO20" s="255">
        <v>65</v>
      </c>
      <c r="KP20" s="255">
        <v>65</v>
      </c>
      <c r="KQ20" s="255">
        <v>65</v>
      </c>
      <c r="KR20" s="255">
        <v>65</v>
      </c>
      <c r="KS20" s="255">
        <v>65</v>
      </c>
      <c r="KT20" s="255">
        <v>65</v>
      </c>
      <c r="KU20" s="255">
        <v>65</v>
      </c>
      <c r="KV20" s="255">
        <v>65</v>
      </c>
      <c r="KW20" s="255">
        <v>65</v>
      </c>
      <c r="KX20" s="255">
        <v>65</v>
      </c>
      <c r="KY20" s="255">
        <v>65</v>
      </c>
      <c r="KZ20" s="255">
        <v>65</v>
      </c>
      <c r="LA20" s="255">
        <v>65</v>
      </c>
      <c r="LB20" s="255">
        <v>65</v>
      </c>
      <c r="LC20" s="255">
        <v>65</v>
      </c>
      <c r="LD20" s="255">
        <v>65</v>
      </c>
      <c r="LE20" s="255">
        <v>65</v>
      </c>
      <c r="LF20" s="255">
        <v>65</v>
      </c>
      <c r="LG20" s="255">
        <v>65</v>
      </c>
      <c r="LH20" s="255">
        <v>65</v>
      </c>
      <c r="LI20" s="255">
        <v>65</v>
      </c>
      <c r="LJ20" s="255">
        <v>65</v>
      </c>
      <c r="LK20" s="255">
        <v>65</v>
      </c>
      <c r="LL20" s="255">
        <v>65</v>
      </c>
      <c r="LM20" s="255">
        <v>65</v>
      </c>
      <c r="LN20" s="255">
        <v>65</v>
      </c>
      <c r="LO20" s="255">
        <v>65</v>
      </c>
      <c r="LP20" s="255">
        <v>65</v>
      </c>
      <c r="LQ20" s="255">
        <v>65</v>
      </c>
      <c r="LR20" s="255">
        <v>65</v>
      </c>
      <c r="LS20" s="255">
        <v>65</v>
      </c>
      <c r="LT20" s="255">
        <v>65</v>
      </c>
      <c r="LU20" s="255">
        <v>65</v>
      </c>
      <c r="LV20" s="255">
        <v>65</v>
      </c>
      <c r="LW20" s="255">
        <v>65</v>
      </c>
      <c r="LX20" s="255">
        <v>65</v>
      </c>
      <c r="LY20" s="255">
        <v>65</v>
      </c>
      <c r="LZ20" s="255">
        <v>65</v>
      </c>
      <c r="MA20" s="255">
        <v>65</v>
      </c>
      <c r="MB20" s="255">
        <v>65</v>
      </c>
      <c r="MC20" s="255">
        <v>65</v>
      </c>
      <c r="MD20" s="255">
        <v>65</v>
      </c>
      <c r="ME20" s="255">
        <v>65</v>
      </c>
      <c r="MF20" s="255">
        <v>65</v>
      </c>
      <c r="MG20" s="255">
        <v>65</v>
      </c>
      <c r="MH20" s="255">
        <v>65</v>
      </c>
      <c r="MI20" s="255">
        <v>65</v>
      </c>
      <c r="MJ20" s="255">
        <v>65</v>
      </c>
      <c r="MK20" s="255">
        <v>65</v>
      </c>
      <c r="ML20" s="255">
        <v>65</v>
      </c>
      <c r="MM20" s="255">
        <v>65</v>
      </c>
      <c r="MN20" s="255">
        <v>65</v>
      </c>
      <c r="MO20" s="255">
        <v>65</v>
      </c>
      <c r="MP20" s="255">
        <v>65</v>
      </c>
      <c r="MQ20" s="255">
        <v>65</v>
      </c>
      <c r="MR20" s="255">
        <v>65</v>
      </c>
      <c r="MS20" s="255">
        <v>65</v>
      </c>
      <c r="MT20" s="255">
        <v>65</v>
      </c>
      <c r="MU20" s="255">
        <v>65</v>
      </c>
      <c r="MV20" s="255">
        <v>65</v>
      </c>
      <c r="MW20" s="255">
        <v>65</v>
      </c>
      <c r="MX20" s="255">
        <v>65</v>
      </c>
      <c r="MY20" s="255">
        <v>65</v>
      </c>
      <c r="MZ20" s="255">
        <v>65</v>
      </c>
      <c r="NA20" s="255">
        <v>65</v>
      </c>
      <c r="NB20" s="255">
        <v>65</v>
      </c>
      <c r="NC20" s="255">
        <v>65</v>
      </c>
      <c r="ND20" s="255">
        <v>65</v>
      </c>
    </row>
    <row r="21" spans="1:368" s="255" customFormat="1" ht="14.4" x14ac:dyDescent="0.3">
      <c r="A21" s="254"/>
      <c r="B21" s="257"/>
      <c r="E21" s="255" t="s">
        <v>434</v>
      </c>
      <c r="F21" s="255" t="s">
        <v>407</v>
      </c>
      <c r="G21" s="255" t="s">
        <v>28</v>
      </c>
      <c r="H21" s="255" t="s">
        <v>1163</v>
      </c>
      <c r="K21" s="255">
        <f t="shared" si="6"/>
        <v>20</v>
      </c>
      <c r="M21" s="255">
        <v>0</v>
      </c>
      <c r="N21" s="255">
        <v>0</v>
      </c>
      <c r="O21" s="255">
        <v>0</v>
      </c>
      <c r="P21" s="255">
        <v>0</v>
      </c>
      <c r="Q21" s="255">
        <v>0</v>
      </c>
      <c r="R21" s="255">
        <v>0</v>
      </c>
      <c r="S21" s="255">
        <v>0</v>
      </c>
      <c r="T21" s="255">
        <v>0</v>
      </c>
      <c r="U21" s="255">
        <v>0</v>
      </c>
      <c r="V21" s="255">
        <v>0</v>
      </c>
      <c r="W21" s="255">
        <v>0</v>
      </c>
      <c r="X21" s="255">
        <v>0</v>
      </c>
      <c r="Y21" s="255">
        <v>0</v>
      </c>
      <c r="Z21" s="255">
        <v>0</v>
      </c>
      <c r="AA21" s="255">
        <v>0</v>
      </c>
      <c r="AB21" s="255">
        <v>0</v>
      </c>
      <c r="AC21" s="255">
        <v>0</v>
      </c>
      <c r="AD21" s="255">
        <v>0</v>
      </c>
      <c r="AE21" s="255">
        <v>0</v>
      </c>
      <c r="AF21" s="255">
        <v>0</v>
      </c>
      <c r="AG21" s="255">
        <v>0</v>
      </c>
      <c r="AH21" s="255">
        <v>0</v>
      </c>
      <c r="AI21" s="255">
        <v>0</v>
      </c>
      <c r="AJ21" s="255">
        <v>0</v>
      </c>
      <c r="AK21" s="255">
        <v>0</v>
      </c>
      <c r="AL21" s="255">
        <v>0</v>
      </c>
      <c r="AM21" s="255">
        <v>0</v>
      </c>
      <c r="AN21" s="255">
        <v>0</v>
      </c>
      <c r="AO21" s="255">
        <v>0</v>
      </c>
      <c r="AP21" s="255">
        <v>0</v>
      </c>
      <c r="AQ21" s="255">
        <v>0</v>
      </c>
      <c r="AR21" s="255">
        <v>0</v>
      </c>
      <c r="AS21" s="255">
        <v>0</v>
      </c>
      <c r="AT21" s="255">
        <v>0</v>
      </c>
      <c r="AU21" s="255">
        <v>0</v>
      </c>
      <c r="AV21" s="255">
        <v>0</v>
      </c>
      <c r="AW21" s="255">
        <v>0</v>
      </c>
      <c r="AX21" s="255">
        <v>0</v>
      </c>
      <c r="AY21" s="255">
        <v>0</v>
      </c>
      <c r="AZ21" s="255">
        <v>0</v>
      </c>
      <c r="BA21" s="255">
        <v>0</v>
      </c>
      <c r="BB21" s="255">
        <v>0</v>
      </c>
      <c r="BC21" s="255">
        <v>0</v>
      </c>
      <c r="BD21" s="255">
        <v>0</v>
      </c>
      <c r="BE21" s="255">
        <v>0</v>
      </c>
      <c r="BF21" s="255">
        <v>0</v>
      </c>
      <c r="BG21" s="255">
        <v>0</v>
      </c>
      <c r="BH21" s="255">
        <v>0</v>
      </c>
      <c r="BI21" s="255">
        <v>0</v>
      </c>
      <c r="BJ21" s="255">
        <v>0</v>
      </c>
      <c r="BK21" s="255">
        <v>0</v>
      </c>
      <c r="BL21" s="255">
        <v>0</v>
      </c>
      <c r="BM21" s="255">
        <v>0</v>
      </c>
      <c r="BN21" s="255">
        <v>0</v>
      </c>
      <c r="BO21" s="255">
        <v>0</v>
      </c>
      <c r="BP21" s="255">
        <v>0</v>
      </c>
      <c r="BQ21" s="255">
        <v>0</v>
      </c>
      <c r="BR21" s="255">
        <v>0</v>
      </c>
      <c r="BS21" s="255">
        <v>0</v>
      </c>
      <c r="BT21" s="255">
        <v>0</v>
      </c>
      <c r="BU21" s="255">
        <v>0</v>
      </c>
      <c r="BV21" s="255">
        <v>0</v>
      </c>
      <c r="BW21" s="255">
        <v>0</v>
      </c>
      <c r="BX21" s="255">
        <v>0</v>
      </c>
      <c r="BY21" s="255">
        <v>0</v>
      </c>
      <c r="BZ21" s="255">
        <v>0</v>
      </c>
      <c r="CA21" s="255">
        <v>0</v>
      </c>
      <c r="CB21" s="255">
        <v>0</v>
      </c>
      <c r="CC21" s="255">
        <v>0</v>
      </c>
      <c r="CD21" s="255">
        <v>0</v>
      </c>
      <c r="CE21" s="255">
        <v>0</v>
      </c>
      <c r="CF21" s="255">
        <v>0</v>
      </c>
      <c r="CG21" s="255">
        <v>0</v>
      </c>
      <c r="CH21" s="255">
        <v>0</v>
      </c>
      <c r="CI21" s="255">
        <v>0</v>
      </c>
      <c r="CJ21" s="255">
        <v>0</v>
      </c>
      <c r="CK21" s="255">
        <v>0</v>
      </c>
      <c r="CL21" s="255">
        <v>0</v>
      </c>
      <c r="CM21" s="255">
        <v>0</v>
      </c>
      <c r="CN21" s="255">
        <v>0</v>
      </c>
      <c r="CO21" s="255">
        <v>0</v>
      </c>
      <c r="CP21" s="255">
        <v>0</v>
      </c>
      <c r="CQ21" s="255">
        <v>0</v>
      </c>
      <c r="CR21" s="255">
        <v>0</v>
      </c>
      <c r="CS21" s="255">
        <v>0</v>
      </c>
      <c r="CT21" s="255">
        <v>0</v>
      </c>
      <c r="CU21" s="255">
        <v>0</v>
      </c>
      <c r="CV21" s="255">
        <v>0</v>
      </c>
      <c r="CW21" s="255">
        <v>0</v>
      </c>
      <c r="CX21" s="255">
        <v>0</v>
      </c>
      <c r="CY21" s="255">
        <v>0</v>
      </c>
      <c r="CZ21" s="255">
        <v>0</v>
      </c>
      <c r="DA21" s="255">
        <v>0</v>
      </c>
      <c r="DB21" s="255">
        <v>0</v>
      </c>
      <c r="DC21" s="255">
        <v>0</v>
      </c>
      <c r="DD21" s="255">
        <v>0</v>
      </c>
      <c r="DE21" s="255">
        <v>0</v>
      </c>
      <c r="DF21" s="255">
        <v>0</v>
      </c>
      <c r="DG21" s="255">
        <v>0</v>
      </c>
      <c r="DH21" s="255">
        <v>0</v>
      </c>
      <c r="DI21" s="255">
        <v>0</v>
      </c>
      <c r="DJ21" s="255">
        <v>0</v>
      </c>
      <c r="DK21" s="255">
        <v>0</v>
      </c>
      <c r="DL21" s="255">
        <v>0</v>
      </c>
      <c r="DM21" s="255">
        <v>0</v>
      </c>
      <c r="DN21" s="255">
        <v>0</v>
      </c>
      <c r="DO21" s="255">
        <v>0</v>
      </c>
      <c r="DP21" s="255">
        <v>0</v>
      </c>
      <c r="DQ21" s="255">
        <v>0</v>
      </c>
      <c r="DR21" s="255">
        <v>0</v>
      </c>
      <c r="DS21" s="255">
        <v>0</v>
      </c>
      <c r="DT21" s="255">
        <v>0</v>
      </c>
      <c r="DU21" s="255">
        <v>0</v>
      </c>
      <c r="DV21" s="255">
        <v>0</v>
      </c>
      <c r="DW21" s="255">
        <v>0</v>
      </c>
      <c r="DX21" s="255">
        <v>0</v>
      </c>
      <c r="DY21" s="255">
        <v>0</v>
      </c>
      <c r="DZ21" s="255">
        <v>0</v>
      </c>
      <c r="EA21" s="255">
        <v>0</v>
      </c>
      <c r="EB21" s="255">
        <v>0</v>
      </c>
      <c r="EC21" s="255">
        <v>0</v>
      </c>
      <c r="ED21" s="255">
        <v>0</v>
      </c>
      <c r="EE21" s="255">
        <v>0</v>
      </c>
      <c r="EF21" s="255">
        <v>0</v>
      </c>
      <c r="EG21" s="255">
        <v>0</v>
      </c>
      <c r="EH21" s="255">
        <v>0</v>
      </c>
      <c r="EI21" s="255">
        <v>0</v>
      </c>
      <c r="EJ21" s="255">
        <v>0</v>
      </c>
      <c r="EK21" s="255">
        <v>0</v>
      </c>
      <c r="EL21" s="255">
        <v>0</v>
      </c>
      <c r="EM21" s="255">
        <v>0</v>
      </c>
      <c r="EN21" s="255">
        <v>0</v>
      </c>
      <c r="EO21" s="255">
        <v>0</v>
      </c>
      <c r="EP21" s="255">
        <v>0</v>
      </c>
      <c r="EQ21" s="255">
        <v>0</v>
      </c>
      <c r="ER21" s="255">
        <v>0</v>
      </c>
      <c r="ES21" s="255">
        <v>0</v>
      </c>
      <c r="ET21" s="255">
        <v>0</v>
      </c>
      <c r="EU21" s="255">
        <v>0</v>
      </c>
      <c r="EV21" s="255">
        <v>0</v>
      </c>
      <c r="EW21" s="255">
        <v>0</v>
      </c>
      <c r="EX21" s="255">
        <v>0</v>
      </c>
      <c r="EY21" s="255">
        <v>0</v>
      </c>
      <c r="EZ21" s="255">
        <v>0</v>
      </c>
      <c r="FA21" s="255">
        <v>0</v>
      </c>
      <c r="FB21" s="255">
        <v>0</v>
      </c>
      <c r="FC21" s="255">
        <v>0</v>
      </c>
      <c r="FD21" s="255">
        <v>0</v>
      </c>
      <c r="FE21" s="255">
        <v>0</v>
      </c>
      <c r="FF21" s="255">
        <v>0</v>
      </c>
      <c r="FG21" s="255">
        <v>0</v>
      </c>
      <c r="FH21" s="255">
        <v>0</v>
      </c>
      <c r="FI21" s="255">
        <v>0</v>
      </c>
      <c r="FJ21" s="255">
        <v>0</v>
      </c>
      <c r="FK21" s="255">
        <v>0</v>
      </c>
      <c r="FL21" s="255">
        <v>0</v>
      </c>
      <c r="FM21" s="255">
        <v>0</v>
      </c>
      <c r="FN21" s="255">
        <v>0</v>
      </c>
      <c r="FO21" s="255">
        <v>0</v>
      </c>
      <c r="FP21" s="255">
        <v>0</v>
      </c>
      <c r="FQ21" s="255">
        <v>0</v>
      </c>
      <c r="FR21" s="255">
        <v>0</v>
      </c>
      <c r="FS21" s="255">
        <v>0</v>
      </c>
      <c r="FT21" s="255">
        <v>0</v>
      </c>
      <c r="FU21" s="255">
        <v>0</v>
      </c>
      <c r="FV21" s="255">
        <v>0</v>
      </c>
      <c r="FW21" s="255">
        <v>0</v>
      </c>
      <c r="FX21" s="255">
        <v>0</v>
      </c>
      <c r="FY21" s="255">
        <v>0</v>
      </c>
      <c r="FZ21" s="255">
        <v>0</v>
      </c>
      <c r="GA21" s="255">
        <v>0</v>
      </c>
      <c r="GB21" s="255">
        <v>0</v>
      </c>
      <c r="GC21" s="255">
        <v>0</v>
      </c>
      <c r="GD21" s="255">
        <v>0</v>
      </c>
      <c r="GE21" s="255">
        <v>0</v>
      </c>
      <c r="GF21" s="255">
        <v>0</v>
      </c>
      <c r="GG21" s="255">
        <v>0</v>
      </c>
      <c r="GH21" s="255">
        <v>0</v>
      </c>
      <c r="GI21" s="255">
        <v>0</v>
      </c>
      <c r="GJ21" s="255">
        <v>0</v>
      </c>
      <c r="GK21" s="255">
        <v>0</v>
      </c>
      <c r="GL21" s="255">
        <v>0</v>
      </c>
      <c r="GM21" s="255">
        <v>0</v>
      </c>
      <c r="GN21" s="255">
        <v>0</v>
      </c>
      <c r="GO21" s="255">
        <v>0</v>
      </c>
      <c r="GP21" s="255">
        <v>0</v>
      </c>
      <c r="GQ21" s="255">
        <v>0</v>
      </c>
      <c r="GR21" s="255">
        <v>0</v>
      </c>
      <c r="GS21" s="255">
        <v>0</v>
      </c>
      <c r="GT21" s="255">
        <v>0</v>
      </c>
      <c r="GU21" s="255">
        <v>0</v>
      </c>
      <c r="GV21" s="255">
        <v>0</v>
      </c>
      <c r="GW21" s="255">
        <v>0</v>
      </c>
      <c r="GX21" s="255">
        <v>0</v>
      </c>
      <c r="GY21" s="255">
        <v>0</v>
      </c>
      <c r="GZ21" s="255">
        <v>0</v>
      </c>
      <c r="HA21" s="255">
        <v>0</v>
      </c>
      <c r="HB21" s="255">
        <v>0</v>
      </c>
      <c r="HC21" s="255">
        <v>0</v>
      </c>
      <c r="HD21" s="255">
        <v>0</v>
      </c>
      <c r="HE21" s="255">
        <v>0</v>
      </c>
      <c r="HF21" s="255">
        <v>0</v>
      </c>
      <c r="HG21" s="255">
        <v>0</v>
      </c>
      <c r="HH21" s="255">
        <v>0</v>
      </c>
      <c r="HI21" s="255">
        <v>0</v>
      </c>
      <c r="HJ21" s="255">
        <v>0</v>
      </c>
      <c r="HK21" s="255">
        <v>0</v>
      </c>
      <c r="HL21" s="255">
        <v>0</v>
      </c>
      <c r="HM21" s="255">
        <v>0</v>
      </c>
      <c r="HN21" s="255">
        <v>0</v>
      </c>
      <c r="HO21" s="255">
        <v>0</v>
      </c>
      <c r="HP21" s="255">
        <v>0</v>
      </c>
      <c r="HQ21" s="255">
        <v>0</v>
      </c>
      <c r="HR21" s="255">
        <v>0</v>
      </c>
      <c r="HS21" s="255">
        <v>0</v>
      </c>
      <c r="HT21" s="255">
        <v>0</v>
      </c>
      <c r="HU21" s="255">
        <v>0</v>
      </c>
      <c r="HV21" s="255">
        <v>0</v>
      </c>
      <c r="HW21" s="255">
        <v>0</v>
      </c>
      <c r="HX21" s="255">
        <v>0</v>
      </c>
      <c r="HY21" s="255">
        <v>0</v>
      </c>
      <c r="HZ21" s="255">
        <v>0</v>
      </c>
      <c r="IA21" s="255">
        <v>0</v>
      </c>
      <c r="IB21" s="255">
        <v>0</v>
      </c>
      <c r="IC21" s="255">
        <v>0</v>
      </c>
      <c r="ID21" s="255">
        <v>0</v>
      </c>
      <c r="IE21" s="255">
        <v>0</v>
      </c>
      <c r="IF21" s="255">
        <v>0</v>
      </c>
      <c r="IG21" s="255">
        <v>0</v>
      </c>
      <c r="IH21" s="255">
        <v>0</v>
      </c>
      <c r="II21" s="255">
        <v>0</v>
      </c>
      <c r="IJ21" s="255">
        <v>0</v>
      </c>
      <c r="IK21" s="255">
        <v>0</v>
      </c>
      <c r="IL21" s="255">
        <v>0</v>
      </c>
      <c r="IM21" s="255">
        <v>0</v>
      </c>
      <c r="IN21" s="255">
        <v>0</v>
      </c>
      <c r="IO21" s="255">
        <v>0</v>
      </c>
      <c r="IP21" s="255">
        <v>0</v>
      </c>
      <c r="IQ21" s="255">
        <v>0</v>
      </c>
      <c r="IR21" s="255">
        <v>0</v>
      </c>
      <c r="IS21" s="255">
        <v>0</v>
      </c>
      <c r="IT21" s="255">
        <v>0</v>
      </c>
      <c r="IU21" s="255">
        <v>0</v>
      </c>
      <c r="IV21" s="255">
        <v>0</v>
      </c>
      <c r="IW21" s="255">
        <v>0</v>
      </c>
      <c r="IX21" s="255">
        <v>0</v>
      </c>
      <c r="IY21" s="255">
        <v>0</v>
      </c>
      <c r="IZ21" s="255">
        <v>0</v>
      </c>
      <c r="JA21" s="255">
        <v>0</v>
      </c>
      <c r="JB21" s="255">
        <v>0</v>
      </c>
      <c r="JC21" s="255">
        <v>0</v>
      </c>
      <c r="JD21" s="255">
        <v>0</v>
      </c>
      <c r="JE21" s="255">
        <v>0</v>
      </c>
      <c r="JF21" s="255">
        <v>0</v>
      </c>
      <c r="JG21" s="255">
        <v>0</v>
      </c>
      <c r="JH21" s="255">
        <v>0</v>
      </c>
      <c r="JI21" s="255">
        <v>0</v>
      </c>
      <c r="JJ21" s="255">
        <v>0</v>
      </c>
      <c r="JK21" s="255">
        <v>0</v>
      </c>
      <c r="JL21" s="255">
        <v>0</v>
      </c>
      <c r="JM21" s="255">
        <v>0</v>
      </c>
      <c r="JN21" s="255">
        <v>0</v>
      </c>
      <c r="JO21" s="255">
        <v>0</v>
      </c>
      <c r="JP21" s="255">
        <v>0</v>
      </c>
      <c r="JQ21" s="255">
        <v>0</v>
      </c>
      <c r="JR21" s="255">
        <v>0</v>
      </c>
      <c r="JS21" s="255">
        <v>0</v>
      </c>
      <c r="JT21" s="255">
        <v>0</v>
      </c>
      <c r="JU21" s="255">
        <v>0</v>
      </c>
      <c r="JV21" s="255">
        <v>0</v>
      </c>
      <c r="JW21" s="255">
        <v>0</v>
      </c>
      <c r="JX21" s="255">
        <v>0</v>
      </c>
      <c r="JY21" s="255">
        <v>0</v>
      </c>
      <c r="JZ21" s="255">
        <v>0</v>
      </c>
      <c r="KA21" s="255">
        <v>0</v>
      </c>
      <c r="KB21" s="255">
        <v>0</v>
      </c>
      <c r="KC21" s="255">
        <v>0</v>
      </c>
      <c r="KD21" s="255">
        <v>0</v>
      </c>
      <c r="KE21" s="255">
        <v>0</v>
      </c>
      <c r="KF21" s="255">
        <v>0</v>
      </c>
      <c r="KG21" s="255">
        <v>0</v>
      </c>
      <c r="KH21" s="255">
        <v>0</v>
      </c>
      <c r="KI21" s="255">
        <v>0</v>
      </c>
      <c r="KJ21" s="255">
        <v>0</v>
      </c>
      <c r="KK21" s="255">
        <v>0</v>
      </c>
      <c r="KL21" s="255">
        <v>0</v>
      </c>
      <c r="KM21" s="255">
        <v>0</v>
      </c>
      <c r="KN21" s="255">
        <v>0</v>
      </c>
      <c r="KO21" s="255">
        <v>0</v>
      </c>
      <c r="KP21" s="255">
        <v>0</v>
      </c>
      <c r="KQ21" s="255">
        <v>0</v>
      </c>
      <c r="KR21" s="255">
        <v>0</v>
      </c>
      <c r="KS21" s="255">
        <v>0</v>
      </c>
      <c r="KT21" s="255">
        <v>0</v>
      </c>
      <c r="KU21" s="255">
        <v>0</v>
      </c>
      <c r="KV21" s="255">
        <v>0</v>
      </c>
      <c r="KW21" s="255">
        <v>0</v>
      </c>
      <c r="KX21" s="255">
        <v>0</v>
      </c>
      <c r="KY21" s="255">
        <v>0</v>
      </c>
      <c r="KZ21" s="255">
        <v>0</v>
      </c>
      <c r="LA21" s="255">
        <v>0</v>
      </c>
      <c r="LB21" s="255">
        <v>0</v>
      </c>
      <c r="LC21" s="255">
        <v>0</v>
      </c>
      <c r="LD21" s="255">
        <v>0</v>
      </c>
      <c r="LE21" s="255">
        <v>0</v>
      </c>
      <c r="LF21" s="255">
        <v>0</v>
      </c>
      <c r="LG21" s="255">
        <v>0</v>
      </c>
      <c r="LH21" s="255">
        <v>0</v>
      </c>
      <c r="LI21" s="255">
        <v>0</v>
      </c>
      <c r="LJ21" s="255">
        <v>0</v>
      </c>
      <c r="LK21" s="255">
        <v>0</v>
      </c>
      <c r="LL21" s="255">
        <v>0</v>
      </c>
      <c r="LM21" s="255">
        <v>0</v>
      </c>
      <c r="LN21" s="255">
        <v>0</v>
      </c>
      <c r="LO21" s="255">
        <v>0</v>
      </c>
      <c r="LP21" s="255">
        <v>0</v>
      </c>
      <c r="LQ21" s="255">
        <v>0</v>
      </c>
      <c r="LR21" s="255">
        <v>0</v>
      </c>
      <c r="LS21" s="255">
        <v>0</v>
      </c>
      <c r="LT21" s="255">
        <v>0</v>
      </c>
      <c r="LU21" s="255">
        <v>0</v>
      </c>
      <c r="LV21" s="255">
        <v>0</v>
      </c>
      <c r="LW21" s="255">
        <v>0</v>
      </c>
      <c r="LX21" s="255">
        <v>0</v>
      </c>
      <c r="LY21" s="255">
        <v>0</v>
      </c>
      <c r="LZ21" s="255">
        <v>0</v>
      </c>
      <c r="MA21" s="255">
        <v>0</v>
      </c>
      <c r="MB21" s="255">
        <v>0</v>
      </c>
      <c r="MC21" s="255">
        <v>0</v>
      </c>
      <c r="MD21" s="255">
        <v>0</v>
      </c>
      <c r="ME21" s="255">
        <v>0</v>
      </c>
      <c r="MF21" s="255">
        <v>0</v>
      </c>
      <c r="MG21" s="255">
        <v>0</v>
      </c>
      <c r="MH21" s="255">
        <v>0</v>
      </c>
      <c r="MI21" s="255">
        <v>0</v>
      </c>
      <c r="MJ21" s="255">
        <v>0</v>
      </c>
      <c r="MK21" s="255">
        <v>0</v>
      </c>
      <c r="ML21" s="255">
        <v>0</v>
      </c>
      <c r="MM21" s="255">
        <v>0</v>
      </c>
      <c r="MN21" s="255">
        <v>0</v>
      </c>
      <c r="MO21" s="255">
        <v>0</v>
      </c>
      <c r="MP21" s="255">
        <v>0</v>
      </c>
      <c r="MQ21" s="255">
        <v>0</v>
      </c>
      <c r="MR21" s="255">
        <v>0</v>
      </c>
      <c r="MS21" s="255">
        <v>0</v>
      </c>
      <c r="MT21" s="255">
        <v>0</v>
      </c>
      <c r="MU21" s="255">
        <v>0</v>
      </c>
      <c r="MV21" s="255">
        <v>0</v>
      </c>
      <c r="MW21" s="255">
        <v>0</v>
      </c>
      <c r="MX21" s="255">
        <v>0</v>
      </c>
      <c r="MY21" s="255">
        <v>0</v>
      </c>
      <c r="MZ21" s="255">
        <v>0</v>
      </c>
      <c r="NA21" s="255">
        <v>0</v>
      </c>
      <c r="NB21" s="255">
        <v>0</v>
      </c>
      <c r="NC21" s="255">
        <v>0</v>
      </c>
      <c r="ND21" s="255">
        <v>0</v>
      </c>
    </row>
    <row r="22" spans="1:368" s="255" customFormat="1" ht="14.4" x14ac:dyDescent="0.3">
      <c r="A22" s="254"/>
      <c r="B22" s="257"/>
      <c r="K22" s="255">
        <f t="shared" si="6"/>
        <v>21</v>
      </c>
    </row>
    <row r="23" spans="1:368" s="255" customFormat="1" ht="14.4" x14ac:dyDescent="0.3">
      <c r="A23" s="254"/>
      <c r="B23" s="257"/>
      <c r="D23" s="254" t="s">
        <v>521</v>
      </c>
      <c r="K23" s="255">
        <f t="shared" si="6"/>
        <v>22</v>
      </c>
    </row>
    <row r="24" spans="1:368" s="255" customFormat="1" ht="14.4" x14ac:dyDescent="0.3">
      <c r="A24" s="254"/>
      <c r="B24" s="257"/>
      <c r="E24" s="255" t="s">
        <v>1126</v>
      </c>
      <c r="F24" s="255" t="s">
        <v>407</v>
      </c>
      <c r="G24" s="255" t="s">
        <v>524</v>
      </c>
      <c r="K24" s="255">
        <f t="shared" si="6"/>
        <v>23</v>
      </c>
      <c r="L24" s="255" t="s">
        <v>622</v>
      </c>
      <c r="M24" s="255">
        <f t="shared" ref="M24:BX24" si="7">M18/(M$6*M$13+M$6*M$15)*1000</f>
        <v>427.22332324202694</v>
      </c>
      <c r="N24" s="255">
        <f t="shared" si="7"/>
        <v>549.08189202839287</v>
      </c>
      <c r="O24" s="255">
        <f t="shared" si="7"/>
        <v>421.46818013264976</v>
      </c>
      <c r="P24" s="255">
        <f t="shared" si="7"/>
        <v>527.79610070181002</v>
      </c>
      <c r="Q24" s="255">
        <f t="shared" si="7"/>
        <v>587.67401639003742</v>
      </c>
      <c r="R24" s="255">
        <f t="shared" si="7"/>
        <v>506.92222354673191</v>
      </c>
      <c r="S24" s="255">
        <f t="shared" si="7"/>
        <v>496.25050295890406</v>
      </c>
      <c r="T24" s="255">
        <f t="shared" si="7"/>
        <v>676.32225250054273</v>
      </c>
      <c r="U24" s="255">
        <f t="shared" si="7"/>
        <v>544.60154891944501</v>
      </c>
      <c r="V24" s="255">
        <f t="shared" si="7"/>
        <v>560.78339384752769</v>
      </c>
      <c r="W24" s="255">
        <f t="shared" si="7"/>
        <v>365.52259503267652</v>
      </c>
      <c r="X24" s="255">
        <f t="shared" si="7"/>
        <v>430.42157648373177</v>
      </c>
      <c r="Y24" s="255">
        <f t="shared" si="7"/>
        <v>196.41420429239076</v>
      </c>
      <c r="Z24" s="255">
        <f t="shared" si="7"/>
        <v>582.58551586284045</v>
      </c>
      <c r="AA24" s="255">
        <f t="shared" si="7"/>
        <v>536.57614895787538</v>
      </c>
      <c r="AB24" s="255">
        <f t="shared" si="7"/>
        <v>344.31299916787208</v>
      </c>
      <c r="AC24" s="255">
        <f t="shared" si="7"/>
        <v>559.94676113468086</v>
      </c>
      <c r="AD24" s="255">
        <f t="shared" si="7"/>
        <v>485.08504405992682</v>
      </c>
      <c r="AE24" s="255">
        <f t="shared" si="7"/>
        <v>467.81358214200719</v>
      </c>
      <c r="AF24" s="255">
        <f t="shared" si="7"/>
        <v>560.31302703984557</v>
      </c>
      <c r="AG24" s="255">
        <f t="shared" si="7"/>
        <v>478.16297606704092</v>
      </c>
      <c r="AH24" s="255" t="e">
        <f t="shared" si="7"/>
        <v>#VALUE!</v>
      </c>
      <c r="AI24" s="255">
        <f t="shared" si="7"/>
        <v>522.06370865526162</v>
      </c>
      <c r="AJ24" s="255">
        <f t="shared" si="7"/>
        <v>507.57350160825666</v>
      </c>
      <c r="AK24" s="255">
        <f t="shared" si="7"/>
        <v>445.02319635726144</v>
      </c>
      <c r="AL24" s="255">
        <f t="shared" si="7"/>
        <v>624.44792424572609</v>
      </c>
      <c r="AM24" s="255">
        <f t="shared" si="7"/>
        <v>522.83621914823902</v>
      </c>
      <c r="AN24" s="255">
        <f t="shared" si="7"/>
        <v>396.95964141196686</v>
      </c>
      <c r="AO24" s="255">
        <f t="shared" si="7"/>
        <v>522.8094365742769</v>
      </c>
      <c r="AP24" s="255">
        <f t="shared" si="7"/>
        <v>464.86463296183206</v>
      </c>
      <c r="AQ24" s="255">
        <f t="shared" si="7"/>
        <v>487.94361319883046</v>
      </c>
      <c r="AR24" s="255">
        <f t="shared" si="7"/>
        <v>362.51682113243623</v>
      </c>
      <c r="AS24" s="255">
        <f t="shared" si="7"/>
        <v>421.19477667721219</v>
      </c>
      <c r="AT24" s="255">
        <f t="shared" si="7"/>
        <v>608.62363321401688</v>
      </c>
      <c r="AU24" s="255">
        <f t="shared" si="7"/>
        <v>393.31712994913602</v>
      </c>
      <c r="AV24" s="255">
        <f t="shared" si="7"/>
        <v>399.65887226686471</v>
      </c>
      <c r="AW24" s="255">
        <f t="shared" si="7"/>
        <v>465.17742733282063</v>
      </c>
      <c r="AX24" s="255">
        <f t="shared" si="7"/>
        <v>506.50810612959287</v>
      </c>
      <c r="AY24" s="255">
        <f t="shared" si="7"/>
        <v>528.51790537360091</v>
      </c>
      <c r="AZ24" s="255">
        <f t="shared" si="7"/>
        <v>554.43641122324038</v>
      </c>
      <c r="BA24" s="255">
        <f t="shared" si="7"/>
        <v>464.21993353188333</v>
      </c>
      <c r="BB24" s="255">
        <f t="shared" si="7"/>
        <v>416.67252654901614</v>
      </c>
      <c r="BC24" s="255">
        <f t="shared" si="7"/>
        <v>420.8038951073006</v>
      </c>
      <c r="BD24" s="255">
        <f t="shared" si="7"/>
        <v>426.8729068439377</v>
      </c>
      <c r="BE24" s="255">
        <f t="shared" si="7"/>
        <v>356.80845329340139</v>
      </c>
      <c r="BF24" s="255">
        <f t="shared" si="7"/>
        <v>462.34687735413399</v>
      </c>
      <c r="BG24" s="255">
        <f t="shared" si="7"/>
        <v>665.17321842408319</v>
      </c>
      <c r="BH24" s="255">
        <f t="shared" si="7"/>
        <v>455.11273787836063</v>
      </c>
      <c r="BI24" s="255">
        <f t="shared" si="7"/>
        <v>483.92306115756401</v>
      </c>
      <c r="BJ24" s="255">
        <f t="shared" si="7"/>
        <v>492.00903028086515</v>
      </c>
      <c r="BK24" s="255">
        <f t="shared" si="7"/>
        <v>457.53231992261209</v>
      </c>
      <c r="BL24" s="255">
        <f t="shared" si="7"/>
        <v>453.25201178627094</v>
      </c>
      <c r="BM24" s="255">
        <f t="shared" si="7"/>
        <v>408.15070539011134</v>
      </c>
      <c r="BN24" s="255">
        <f t="shared" si="7"/>
        <v>478.54628276423398</v>
      </c>
      <c r="BO24" s="255">
        <f t="shared" si="7"/>
        <v>664.4067535079688</v>
      </c>
      <c r="BP24" s="255">
        <f t="shared" si="7"/>
        <v>430.37016340358196</v>
      </c>
      <c r="BQ24" s="255">
        <f t="shared" si="7"/>
        <v>546.9582163402473</v>
      </c>
      <c r="BR24" s="255">
        <f t="shared" si="7"/>
        <v>322.05574072664808</v>
      </c>
      <c r="BS24" s="255">
        <f t="shared" si="7"/>
        <v>500.91191987048546</v>
      </c>
      <c r="BT24" s="255">
        <f t="shared" si="7"/>
        <v>523.89608401908083</v>
      </c>
      <c r="BU24" s="255">
        <f t="shared" si="7"/>
        <v>482.69088026522451</v>
      </c>
      <c r="BV24" s="255">
        <f t="shared" si="7"/>
        <v>420.78910398869249</v>
      </c>
      <c r="BW24" s="255">
        <f t="shared" si="7"/>
        <v>553.75306746981369</v>
      </c>
      <c r="BX24" s="255">
        <f t="shared" si="7"/>
        <v>442.25116586043242</v>
      </c>
      <c r="BY24" s="255">
        <f t="shared" ref="BY24:EJ24" si="8">BY18/(BY$6*BY$13+BY$6*BY$15)*1000</f>
        <v>412.73051886842063</v>
      </c>
      <c r="BZ24" s="255">
        <f t="shared" si="8"/>
        <v>526.72450180767589</v>
      </c>
      <c r="CA24" s="255">
        <f t="shared" si="8"/>
        <v>376.73115892689168</v>
      </c>
      <c r="CB24" s="255">
        <f t="shared" si="8"/>
        <v>414.90793153826269</v>
      </c>
      <c r="CC24" s="255">
        <f t="shared" si="8"/>
        <v>465.44489534605754</v>
      </c>
      <c r="CD24" s="255">
        <f t="shared" si="8"/>
        <v>454.81716315107042</v>
      </c>
      <c r="CE24" s="255">
        <f t="shared" si="8"/>
        <v>384.3791412118847</v>
      </c>
      <c r="CF24" s="255">
        <f t="shared" si="8"/>
        <v>408.70802867099712</v>
      </c>
      <c r="CG24" s="255">
        <f t="shared" si="8"/>
        <v>485.27003924779081</v>
      </c>
      <c r="CH24" s="255">
        <f t="shared" si="8"/>
        <v>540.25617977097022</v>
      </c>
      <c r="CI24" s="255">
        <f t="shared" si="8"/>
        <v>477.20687184124989</v>
      </c>
      <c r="CJ24" s="255">
        <f t="shared" si="8"/>
        <v>532.18043316938997</v>
      </c>
      <c r="CK24" s="255">
        <f t="shared" si="8"/>
        <v>475.33718931483861</v>
      </c>
      <c r="CL24" s="255">
        <f t="shared" si="8"/>
        <v>440.244089617697</v>
      </c>
      <c r="CM24" s="255">
        <f t="shared" si="8"/>
        <v>462.49549011976978</v>
      </c>
      <c r="CN24" s="255">
        <f t="shared" si="8"/>
        <v>457.56132464912201</v>
      </c>
      <c r="CO24" s="255">
        <f t="shared" si="8"/>
        <v>444.35287334829223</v>
      </c>
      <c r="CP24" s="255">
        <f t="shared" si="8"/>
        <v>526.16416334758412</v>
      </c>
      <c r="CQ24" s="255">
        <f t="shared" si="8"/>
        <v>378.71251283713679</v>
      </c>
      <c r="CR24" s="255">
        <f t="shared" si="8"/>
        <v>489.19011642932213</v>
      </c>
      <c r="CS24" s="255">
        <f t="shared" si="8"/>
        <v>460.11752107455987</v>
      </c>
      <c r="CT24" s="255">
        <f t="shared" si="8"/>
        <v>438.38549561258787</v>
      </c>
      <c r="CU24" s="255">
        <f t="shared" si="8"/>
        <v>454.27130063105255</v>
      </c>
      <c r="CV24" s="255">
        <f t="shared" si="8"/>
        <v>430.3497780342687</v>
      </c>
      <c r="CW24" s="255">
        <f t="shared" si="8"/>
        <v>592.54825981751515</v>
      </c>
      <c r="CX24" s="255">
        <f t="shared" si="8"/>
        <v>552.18658456734101</v>
      </c>
      <c r="CY24" s="255">
        <f t="shared" si="8"/>
        <v>514.65924201296446</v>
      </c>
      <c r="CZ24" s="255">
        <f t="shared" si="8"/>
        <v>543.89257829418364</v>
      </c>
      <c r="DA24" s="255">
        <f t="shared" si="8"/>
        <v>431.83235009731294</v>
      </c>
      <c r="DB24" s="255">
        <f t="shared" si="8"/>
        <v>559.48599123328222</v>
      </c>
      <c r="DC24" s="255">
        <f t="shared" si="8"/>
        <v>562.63679814600823</v>
      </c>
      <c r="DD24" s="255">
        <f t="shared" si="8"/>
        <v>470.20615225629416</v>
      </c>
      <c r="DE24" s="255">
        <f t="shared" si="8"/>
        <v>552.61945503347647</v>
      </c>
      <c r="DF24" s="255">
        <f t="shared" si="8"/>
        <v>535.68346817043528</v>
      </c>
      <c r="DG24" s="255">
        <f t="shared" si="8"/>
        <v>419.75835625343035</v>
      </c>
      <c r="DH24" s="255">
        <f t="shared" si="8"/>
        <v>503.59454333973986</v>
      </c>
      <c r="DI24" s="255">
        <f t="shared" si="8"/>
        <v>440.04854418174784</v>
      </c>
      <c r="DJ24" s="255">
        <f t="shared" si="8"/>
        <v>447.19648808970334</v>
      </c>
      <c r="DK24" s="255">
        <f t="shared" si="8"/>
        <v>547.1112128288371</v>
      </c>
      <c r="DL24" s="255">
        <f t="shared" si="8"/>
        <v>520.914694367572</v>
      </c>
      <c r="DM24" s="255">
        <f t="shared" si="8"/>
        <v>516.35358776584553</v>
      </c>
      <c r="DN24" s="255">
        <f t="shared" si="8"/>
        <v>486.00787848596104</v>
      </c>
      <c r="DO24" s="255">
        <f t="shared" si="8"/>
        <v>593.82042375508581</v>
      </c>
      <c r="DP24" s="255">
        <f t="shared" si="8"/>
        <v>467.54102224852596</v>
      </c>
      <c r="DQ24" s="255">
        <f t="shared" si="8"/>
        <v>358.60395188223106</v>
      </c>
      <c r="DR24" s="255">
        <f t="shared" si="8"/>
        <v>412.56636884350468</v>
      </c>
      <c r="DS24" s="255">
        <f t="shared" si="8"/>
        <v>348.06410955736641</v>
      </c>
      <c r="DT24" s="255">
        <f t="shared" si="8"/>
        <v>476.80855795196715</v>
      </c>
      <c r="DU24" s="255">
        <f t="shared" si="8"/>
        <v>373.01992188913698</v>
      </c>
      <c r="DV24" s="255">
        <f t="shared" si="8"/>
        <v>534.10650207972412</v>
      </c>
      <c r="DW24" s="255">
        <f t="shared" si="8"/>
        <v>531.5312578526067</v>
      </c>
      <c r="DX24" s="255">
        <f t="shared" si="8"/>
        <v>541.92093111706231</v>
      </c>
      <c r="DY24" s="255">
        <f t="shared" si="8"/>
        <v>484.3706224025691</v>
      </c>
      <c r="DZ24" s="255">
        <f t="shared" si="8"/>
        <v>564.21714568721404</v>
      </c>
      <c r="EA24" s="255">
        <f t="shared" si="8"/>
        <v>564.92326426049328</v>
      </c>
      <c r="EB24" s="255">
        <f t="shared" si="8"/>
        <v>540.30056205156097</v>
      </c>
      <c r="EC24" s="255">
        <f t="shared" si="8"/>
        <v>609.90196088207904</v>
      </c>
      <c r="ED24" s="255">
        <f t="shared" si="8"/>
        <v>551.60422714596916</v>
      </c>
      <c r="EE24" s="255">
        <f t="shared" si="8"/>
        <v>556.68155244932029</v>
      </c>
      <c r="EF24" s="255">
        <f t="shared" si="8"/>
        <v>472.25636971307364</v>
      </c>
      <c r="EG24" s="255">
        <f t="shared" si="8"/>
        <v>525.41527945045698</v>
      </c>
      <c r="EH24" s="255">
        <f t="shared" si="8"/>
        <v>581.9694624345567</v>
      </c>
      <c r="EI24" s="255">
        <f t="shared" si="8"/>
        <v>572.50359072273045</v>
      </c>
      <c r="EJ24" s="255">
        <f t="shared" si="8"/>
        <v>450.59783994782009</v>
      </c>
      <c r="EK24" s="255">
        <f t="shared" ref="EK24:GV24" si="9">EK18/(EK$6*EK$13+EK$6*EK$15)*1000</f>
        <v>584.11770538839676</v>
      </c>
      <c r="EL24" s="255">
        <f t="shared" si="9"/>
        <v>533.3855067980893</v>
      </c>
      <c r="EM24" s="255">
        <f t="shared" si="9"/>
        <v>561.2881145330432</v>
      </c>
      <c r="EN24" s="255">
        <f t="shared" si="9"/>
        <v>507.06074734823335</v>
      </c>
      <c r="EO24" s="255">
        <f t="shared" si="9"/>
        <v>551.19224885247263</v>
      </c>
      <c r="EP24" s="255">
        <f t="shared" si="9"/>
        <v>524.13472673782439</v>
      </c>
      <c r="EQ24" s="255">
        <f t="shared" si="9"/>
        <v>619.98706216035953</v>
      </c>
      <c r="ER24" s="255">
        <f t="shared" si="9"/>
        <v>484.97848529430365</v>
      </c>
      <c r="ES24" s="255">
        <f t="shared" si="9"/>
        <v>492.2085725513723</v>
      </c>
      <c r="ET24" s="255">
        <f t="shared" si="9"/>
        <v>531.18342279509432</v>
      </c>
      <c r="EU24" s="255">
        <f t="shared" si="9"/>
        <v>566.18163467233603</v>
      </c>
      <c r="EV24" s="255">
        <f t="shared" si="9"/>
        <v>446.05693543814556</v>
      </c>
      <c r="EW24" s="255">
        <f t="shared" si="9"/>
        <v>538.32402927790804</v>
      </c>
      <c r="EX24" s="255">
        <f t="shared" si="9"/>
        <v>483.62328745860719</v>
      </c>
      <c r="EY24" s="255">
        <f t="shared" si="9"/>
        <v>491.13203202935904</v>
      </c>
      <c r="EZ24" s="255">
        <f t="shared" si="9"/>
        <v>369.14062117315541</v>
      </c>
      <c r="FA24" s="255">
        <f t="shared" si="9"/>
        <v>384.81159730535279</v>
      </c>
      <c r="FB24" s="255">
        <f t="shared" si="9"/>
        <v>588.52347619240948</v>
      </c>
      <c r="FC24" s="255">
        <f t="shared" si="9"/>
        <v>526.71903207909907</v>
      </c>
      <c r="FD24" s="255">
        <f t="shared" si="9"/>
        <v>425.66196696403063</v>
      </c>
      <c r="FE24" s="255">
        <f t="shared" si="9"/>
        <v>526.77368339451334</v>
      </c>
      <c r="FF24" s="255">
        <f t="shared" si="9"/>
        <v>504.95920694517827</v>
      </c>
      <c r="FG24" s="255">
        <f t="shared" si="9"/>
        <v>433.63380964730368</v>
      </c>
      <c r="FH24" s="255">
        <f t="shared" si="9"/>
        <v>548.25147160136282</v>
      </c>
      <c r="FI24" s="255">
        <f t="shared" si="9"/>
        <v>425.61033569005787</v>
      </c>
      <c r="FJ24" s="255">
        <f t="shared" si="9"/>
        <v>536.15194735577074</v>
      </c>
      <c r="FK24" s="255">
        <f t="shared" si="9"/>
        <v>461.42776794103031</v>
      </c>
      <c r="FL24" s="255">
        <f t="shared" si="9"/>
        <v>478.19443943716152</v>
      </c>
      <c r="FM24" s="255">
        <f t="shared" si="9"/>
        <v>566.49398603318116</v>
      </c>
      <c r="FN24" s="255">
        <f t="shared" si="9"/>
        <v>418.89475883359898</v>
      </c>
      <c r="FO24" s="255">
        <f t="shared" si="9"/>
        <v>461.37855215131003</v>
      </c>
      <c r="FP24" s="255">
        <f t="shared" si="9"/>
        <v>437.53758696829692</v>
      </c>
      <c r="FQ24" s="255">
        <f t="shared" si="9"/>
        <v>469.70129292040809</v>
      </c>
      <c r="FR24" s="255">
        <f t="shared" si="9"/>
        <v>442.94056715276463</v>
      </c>
      <c r="FS24" s="255">
        <f t="shared" si="9"/>
        <v>620.3017013995543</v>
      </c>
      <c r="FT24" s="255">
        <f t="shared" si="9"/>
        <v>415.57333973113066</v>
      </c>
      <c r="FU24" s="255">
        <f t="shared" si="9"/>
        <v>488.1698438479832</v>
      </c>
      <c r="FV24" s="255">
        <f t="shared" si="9"/>
        <v>489.52466011176648</v>
      </c>
      <c r="FW24" s="255">
        <f t="shared" si="9"/>
        <v>449.05473388936525</v>
      </c>
      <c r="FX24" s="255">
        <f t="shared" si="9"/>
        <v>499.69185732716812</v>
      </c>
      <c r="FY24" s="255">
        <f t="shared" si="9"/>
        <v>452.59490682449035</v>
      </c>
      <c r="FZ24" s="255">
        <f t="shared" si="9"/>
        <v>431.44014476613506</v>
      </c>
      <c r="GA24" s="255">
        <f t="shared" si="9"/>
        <v>466.51387383666184</v>
      </c>
      <c r="GB24" s="255">
        <f t="shared" si="9"/>
        <v>540.39810236439394</v>
      </c>
      <c r="GC24" s="255">
        <f t="shared" si="9"/>
        <v>444.05861575465696</v>
      </c>
      <c r="GD24" s="255">
        <f t="shared" si="9"/>
        <v>495.34740543975659</v>
      </c>
      <c r="GE24" s="255">
        <f t="shared" si="9"/>
        <v>411.30893078962708</v>
      </c>
      <c r="GF24" s="255">
        <f t="shared" si="9"/>
        <v>509.56766402045616</v>
      </c>
      <c r="GG24" s="255">
        <f t="shared" si="9"/>
        <v>435.48495448765084</v>
      </c>
      <c r="GH24" s="255">
        <f t="shared" si="9"/>
        <v>531.27912242868729</v>
      </c>
      <c r="GI24" s="255">
        <f t="shared" si="9"/>
        <v>386.20005365704668</v>
      </c>
      <c r="GJ24" s="255">
        <f t="shared" si="9"/>
        <v>366.71551112559513</v>
      </c>
      <c r="GK24" s="255">
        <f t="shared" si="9"/>
        <v>546.35587296353469</v>
      </c>
      <c r="GL24" s="255">
        <f t="shared" si="9"/>
        <v>492.10316805798703</v>
      </c>
      <c r="GM24" s="255">
        <f t="shared" si="9"/>
        <v>502.621318114958</v>
      </c>
      <c r="GN24" s="255">
        <f t="shared" si="9"/>
        <v>520.1327784042295</v>
      </c>
      <c r="GO24" s="255">
        <f t="shared" si="9"/>
        <v>447.72781239171155</v>
      </c>
      <c r="GP24" s="255">
        <f t="shared" si="9"/>
        <v>409.1008779984395</v>
      </c>
      <c r="GQ24" s="255">
        <f t="shared" si="9"/>
        <v>497.14180792822651</v>
      </c>
      <c r="GR24" s="255">
        <f t="shared" si="9"/>
        <v>444.74280100896186</v>
      </c>
      <c r="GS24" s="255">
        <f t="shared" si="9"/>
        <v>586.70733448521662</v>
      </c>
      <c r="GT24" s="255">
        <f t="shared" si="9"/>
        <v>488.40734794924737</v>
      </c>
      <c r="GU24" s="255">
        <f t="shared" si="9"/>
        <v>437.37984981608935</v>
      </c>
      <c r="GV24" s="255">
        <f t="shared" si="9"/>
        <v>436.0919277073703</v>
      </c>
      <c r="GW24" s="255">
        <f t="shared" ref="GW24:JJ24" si="10">GW18/(GW$6*GW$13+GW$6*GW$15)*1000</f>
        <v>469.76934953572197</v>
      </c>
      <c r="GX24" s="255">
        <f t="shared" si="10"/>
        <v>404.56320998878488</v>
      </c>
      <c r="GY24" s="255">
        <f t="shared" si="10"/>
        <v>384.63133520444865</v>
      </c>
      <c r="GZ24" s="255">
        <f t="shared" si="10"/>
        <v>425.44365477143918</v>
      </c>
      <c r="HA24" s="255">
        <f t="shared" si="10"/>
        <v>467.75307491208099</v>
      </c>
      <c r="HB24" s="255">
        <f t="shared" si="10"/>
        <v>399.75267635772735</v>
      </c>
      <c r="HC24" s="255">
        <f t="shared" si="10"/>
        <v>581.34043341738573</v>
      </c>
      <c r="HD24" s="255">
        <f t="shared" si="10"/>
        <v>377.04805876666478</v>
      </c>
      <c r="HE24" s="255">
        <f t="shared" si="10"/>
        <v>366.96886723665085</v>
      </c>
      <c r="HF24" s="255">
        <f t="shared" si="10"/>
        <v>593.37570894508815</v>
      </c>
      <c r="HG24" s="255">
        <f t="shared" si="10"/>
        <v>381.80877507196914</v>
      </c>
      <c r="HH24" s="255">
        <f t="shared" si="10"/>
        <v>499.40597864286508</v>
      </c>
      <c r="HI24" s="255">
        <f t="shared" si="10"/>
        <v>398.63206299598664</v>
      </c>
      <c r="HJ24" s="255">
        <f t="shared" si="10"/>
        <v>528.80347405519615</v>
      </c>
      <c r="HK24" s="255">
        <f t="shared" si="10"/>
        <v>459.09633199838146</v>
      </c>
      <c r="HL24" s="255">
        <f t="shared" si="10"/>
        <v>366.04832142837574</v>
      </c>
      <c r="HM24" s="255">
        <f t="shared" si="10"/>
        <v>538.78463772516545</v>
      </c>
      <c r="HN24" s="255">
        <f t="shared" si="10"/>
        <v>575.58416532282399</v>
      </c>
      <c r="HO24" s="255">
        <f t="shared" si="10"/>
        <v>454.24112066254844</v>
      </c>
      <c r="HP24" s="255">
        <f t="shared" si="10"/>
        <v>419.34475181646468</v>
      </c>
      <c r="HQ24" s="255">
        <f t="shared" si="10"/>
        <v>493.0356638340599</v>
      </c>
      <c r="HR24" s="255">
        <f t="shared" si="10"/>
        <v>482.61159332963615</v>
      </c>
      <c r="HS24" s="255">
        <f t="shared" si="10"/>
        <v>382.29955793878491</v>
      </c>
      <c r="HT24" s="255">
        <f t="shared" si="10"/>
        <v>522.16906029622305</v>
      </c>
      <c r="HU24" s="255">
        <f t="shared" si="10"/>
        <v>529.90709906599329</v>
      </c>
      <c r="HV24" s="255">
        <f t="shared" si="10"/>
        <v>599.32493841618532</v>
      </c>
      <c r="HW24" s="255">
        <f t="shared" si="10"/>
        <v>532.80590857173502</v>
      </c>
      <c r="HX24" s="255">
        <f t="shared" si="10"/>
        <v>416.79196828309642</v>
      </c>
      <c r="HY24" s="255">
        <f t="shared" si="10"/>
        <v>395.16797012587421</v>
      </c>
      <c r="HZ24" s="255">
        <f t="shared" si="10"/>
        <v>481.33838361453434</v>
      </c>
      <c r="IA24" s="255">
        <f t="shared" si="10"/>
        <v>582.58506680638811</v>
      </c>
      <c r="IB24" s="255">
        <f t="shared" si="10"/>
        <v>459.867615225642</v>
      </c>
      <c r="IC24" s="255">
        <f t="shared" si="10"/>
        <v>530.47345870816764</v>
      </c>
      <c r="ID24" s="255">
        <f t="shared" si="10"/>
        <v>344.55112231119091</v>
      </c>
      <c r="IE24" s="255">
        <f t="shared" si="10"/>
        <v>523.43335679073016</v>
      </c>
      <c r="IF24" s="255">
        <f t="shared" si="10"/>
        <v>476.28039638411838</v>
      </c>
      <c r="IG24" s="255">
        <f t="shared" si="10"/>
        <v>472.32504817001251</v>
      </c>
      <c r="IH24" s="255">
        <f t="shared" si="10"/>
        <v>436.82144600339586</v>
      </c>
      <c r="II24" s="255">
        <f t="shared" si="10"/>
        <v>339.91271860931306</v>
      </c>
      <c r="IJ24" s="255">
        <f t="shared" si="10"/>
        <v>440.11268480867653</v>
      </c>
      <c r="IK24" s="255">
        <f t="shared" si="10"/>
        <v>506.18944473021696</v>
      </c>
      <c r="IL24" s="255">
        <f t="shared" si="10"/>
        <v>452.77453509643033</v>
      </c>
      <c r="IM24" s="255">
        <f t="shared" si="10"/>
        <v>463.42385310055317</v>
      </c>
      <c r="IN24" s="255">
        <f t="shared" si="10"/>
        <v>488.86139328037223</v>
      </c>
      <c r="IO24" s="255">
        <f t="shared" si="10"/>
        <v>591.26835264346528</v>
      </c>
      <c r="IP24" s="255">
        <f t="shared" si="10"/>
        <v>527.86782011170612</v>
      </c>
      <c r="IQ24" s="255">
        <f t="shared" si="10"/>
        <v>429.9252574639147</v>
      </c>
      <c r="IR24" s="255">
        <f t="shared" si="10"/>
        <v>406.14424081437255</v>
      </c>
      <c r="IS24" s="255">
        <f t="shared" si="10"/>
        <v>442.00188221549161</v>
      </c>
      <c r="IT24" s="255">
        <f t="shared" si="10"/>
        <v>444.11057959234438</v>
      </c>
      <c r="IU24" s="255">
        <f t="shared" si="10"/>
        <v>367.38622452397726</v>
      </c>
      <c r="IV24" s="255">
        <f t="shared" si="10"/>
        <v>481.48650296729909</v>
      </c>
      <c r="IW24" s="255">
        <f t="shared" si="10"/>
        <v>452.16515009787241</v>
      </c>
      <c r="IX24" s="255">
        <f t="shared" si="10"/>
        <v>503.29947244949204</v>
      </c>
      <c r="IY24" s="255">
        <f t="shared" si="10"/>
        <v>557.22128630471354</v>
      </c>
      <c r="IZ24" s="255">
        <f t="shared" si="10"/>
        <v>386.77159225323931</v>
      </c>
      <c r="JA24" s="255">
        <f t="shared" si="10"/>
        <v>548.21441446411143</v>
      </c>
      <c r="JB24" s="255">
        <f t="shared" si="10"/>
        <v>585.71604818730316</v>
      </c>
      <c r="JC24" s="255">
        <f t="shared" si="10"/>
        <v>454.8501210428339</v>
      </c>
      <c r="JD24" s="255">
        <f t="shared" si="10"/>
        <v>581.17006555702096</v>
      </c>
      <c r="JE24" s="255">
        <f t="shared" si="10"/>
        <v>426.20449501294723</v>
      </c>
      <c r="JF24" s="255">
        <f t="shared" si="10"/>
        <v>442.93651250007991</v>
      </c>
      <c r="JG24" s="255">
        <f t="shared" si="10"/>
        <v>597.30268258885872</v>
      </c>
      <c r="JH24" s="255">
        <f t="shared" si="10"/>
        <v>426.19547888332397</v>
      </c>
      <c r="JI24" s="255">
        <f t="shared" si="10"/>
        <v>403.47755819467051</v>
      </c>
      <c r="JJ24" s="255">
        <f t="shared" si="10"/>
        <v>435.965654944888</v>
      </c>
      <c r="JL24" s="255">
        <f t="shared" ref="JL24:KQ24" si="11">JL18/(JL$6*JL$13+JL$6*JL$15)*1000</f>
        <v>451.27919370382386</v>
      </c>
      <c r="JM24" s="255">
        <f t="shared" si="11"/>
        <v>527.04101451408474</v>
      </c>
      <c r="JN24" s="255">
        <f t="shared" si="11"/>
        <v>393.96416597158856</v>
      </c>
      <c r="JO24" s="255">
        <f t="shared" si="11"/>
        <v>385.36333564453622</v>
      </c>
      <c r="JP24" s="255">
        <f t="shared" si="11"/>
        <v>625.24457381871048</v>
      </c>
      <c r="JQ24" s="255">
        <f t="shared" si="11"/>
        <v>512.73547582381957</v>
      </c>
      <c r="JR24" s="255">
        <f t="shared" si="11"/>
        <v>404.15775461311125</v>
      </c>
      <c r="JS24" s="255">
        <f t="shared" si="11"/>
        <v>598.45735546378808</v>
      </c>
      <c r="JT24" s="255">
        <f t="shared" si="11"/>
        <v>522.90687774849448</v>
      </c>
      <c r="JU24" s="255">
        <f t="shared" si="11"/>
        <v>507.61005771172364</v>
      </c>
      <c r="JV24" s="255">
        <f t="shared" si="11"/>
        <v>513.69145612628142</v>
      </c>
      <c r="JW24" s="255">
        <f t="shared" si="11"/>
        <v>515.84076852512067</v>
      </c>
      <c r="JX24" s="255">
        <f t="shared" si="11"/>
        <v>514.9704545266045</v>
      </c>
      <c r="JY24" s="255">
        <f t="shared" si="11"/>
        <v>575.34549577832229</v>
      </c>
      <c r="JZ24" s="255">
        <f t="shared" si="11"/>
        <v>404.44603035397989</v>
      </c>
      <c r="KA24" s="255">
        <f t="shared" si="11"/>
        <v>485.24528316961414</v>
      </c>
      <c r="KB24" s="255">
        <f t="shared" si="11"/>
        <v>552.33397482231828</v>
      </c>
      <c r="KC24" s="255">
        <f t="shared" si="11"/>
        <v>482.47395825435717</v>
      </c>
      <c r="KD24" s="255">
        <f t="shared" si="11"/>
        <v>465.8943165725932</v>
      </c>
      <c r="KE24" s="255">
        <f t="shared" si="11"/>
        <v>441.75150282617136</v>
      </c>
      <c r="KF24" s="255">
        <f t="shared" si="11"/>
        <v>179.70051752907099</v>
      </c>
      <c r="KG24" s="255" t="e">
        <f t="shared" si="11"/>
        <v>#VALUE!</v>
      </c>
      <c r="KH24" s="255">
        <f t="shared" si="11"/>
        <v>497.71939974407491</v>
      </c>
      <c r="KI24" s="255">
        <f t="shared" si="11"/>
        <v>438.78433313113896</v>
      </c>
      <c r="KJ24" s="255">
        <f t="shared" si="11"/>
        <v>438.25345851391853</v>
      </c>
      <c r="KK24" s="255">
        <f t="shared" si="11"/>
        <v>526.54376300436957</v>
      </c>
      <c r="KL24" s="255">
        <f t="shared" si="11"/>
        <v>446.02012385333842</v>
      </c>
      <c r="KM24" s="255">
        <f t="shared" si="11"/>
        <v>505.97366005599156</v>
      </c>
      <c r="KN24" s="255">
        <f t="shared" si="11"/>
        <v>465.90576932183654</v>
      </c>
      <c r="KO24" s="255">
        <f t="shared" si="11"/>
        <v>481.36915508172694</v>
      </c>
      <c r="KP24" s="255">
        <f t="shared" si="11"/>
        <v>545.86369078091786</v>
      </c>
      <c r="KQ24" s="255">
        <f t="shared" si="11"/>
        <v>484.59492435750394</v>
      </c>
      <c r="KR24" s="255">
        <f t="shared" ref="KR24:LW24" si="12">KR18/(KR$6*KR$13+KR$6*KR$15)*1000</f>
        <v>538.62748111529856</v>
      </c>
      <c r="KS24" s="255">
        <f t="shared" si="12"/>
        <v>434.82380487978884</v>
      </c>
      <c r="KT24" s="255">
        <f t="shared" si="12"/>
        <v>444.67409472146937</v>
      </c>
      <c r="KU24" s="255">
        <f t="shared" si="12"/>
        <v>405.28407398787618</v>
      </c>
      <c r="KV24" s="255">
        <f t="shared" si="12"/>
        <v>376.74061122843665</v>
      </c>
      <c r="KW24" s="255">
        <f t="shared" si="12"/>
        <v>472.73202435355347</v>
      </c>
      <c r="KX24" s="255">
        <f t="shared" si="12"/>
        <v>524.56193421526211</v>
      </c>
      <c r="KY24" s="255">
        <f t="shared" si="12"/>
        <v>555.59153958760555</v>
      </c>
      <c r="KZ24" s="255">
        <f t="shared" si="12"/>
        <v>535.57693889856887</v>
      </c>
      <c r="LA24" s="255">
        <f t="shared" si="12"/>
        <v>444.1718778755083</v>
      </c>
      <c r="LB24" s="255">
        <f t="shared" si="12"/>
        <v>503.75871990820661</v>
      </c>
      <c r="LC24" s="255">
        <f t="shared" si="12"/>
        <v>503.8702571563648</v>
      </c>
      <c r="LD24" s="255">
        <f t="shared" si="12"/>
        <v>539.90037613300319</v>
      </c>
      <c r="LE24" s="255">
        <f t="shared" si="12"/>
        <v>509.89849545943287</v>
      </c>
      <c r="LF24" s="255">
        <f t="shared" si="12"/>
        <v>412.05049473685511</v>
      </c>
      <c r="LG24" s="255">
        <f t="shared" si="12"/>
        <v>517.61711656936041</v>
      </c>
      <c r="LH24" s="255">
        <f t="shared" si="12"/>
        <v>142.22772804707813</v>
      </c>
      <c r="LI24" s="255">
        <f t="shared" si="12"/>
        <v>483.64735824552019</v>
      </c>
      <c r="LJ24" s="255">
        <f t="shared" si="12"/>
        <v>494.0690197638902</v>
      </c>
      <c r="LK24" s="255">
        <f t="shared" si="12"/>
        <v>541.35795367193896</v>
      </c>
      <c r="LL24" s="255">
        <f t="shared" si="12"/>
        <v>375.19691139327307</v>
      </c>
      <c r="LM24" s="255">
        <f t="shared" si="12"/>
        <v>449.73688996913603</v>
      </c>
      <c r="LN24" s="255">
        <f t="shared" si="12"/>
        <v>450.24840610670248</v>
      </c>
      <c r="LO24" s="255">
        <f t="shared" si="12"/>
        <v>410.9974790004967</v>
      </c>
      <c r="LP24" s="255">
        <f t="shared" si="12"/>
        <v>582.22097594050592</v>
      </c>
      <c r="LQ24" s="255">
        <f t="shared" si="12"/>
        <v>589.8628152262404</v>
      </c>
      <c r="LR24" s="255">
        <f t="shared" si="12"/>
        <v>317.82206766964947</v>
      </c>
      <c r="LS24" s="255">
        <f t="shared" si="12"/>
        <v>426.44334447385762</v>
      </c>
      <c r="LT24" s="255">
        <f t="shared" si="12"/>
        <v>333.30011277407493</v>
      </c>
      <c r="LU24" s="255">
        <f t="shared" si="12"/>
        <v>524.33754200664782</v>
      </c>
      <c r="LV24" s="255">
        <f t="shared" si="12"/>
        <v>386.38439962948956</v>
      </c>
      <c r="LW24" s="255">
        <f t="shared" si="12"/>
        <v>392.36740203637839</v>
      </c>
      <c r="LX24" s="255">
        <f t="shared" ref="LX24:NC24" si="13">LX18/(LX$6*LX$13+LX$6*LX$15)*1000</f>
        <v>383.33042195536348</v>
      </c>
      <c r="LY24" s="255">
        <f t="shared" si="13"/>
        <v>494.59101587539061</v>
      </c>
      <c r="LZ24" s="255">
        <f t="shared" si="13"/>
        <v>425.62128488664581</v>
      </c>
      <c r="MA24" s="255">
        <f t="shared" si="13"/>
        <v>501.48527182570314</v>
      </c>
      <c r="MB24" s="255">
        <f t="shared" si="13"/>
        <v>431.65736744320242</v>
      </c>
      <c r="MC24" s="255">
        <f t="shared" si="13"/>
        <v>420.07389544080092</v>
      </c>
      <c r="MD24" s="255">
        <f t="shared" si="13"/>
        <v>504.8996711828234</v>
      </c>
      <c r="ME24" s="255">
        <f t="shared" si="13"/>
        <v>388.49347544240703</v>
      </c>
      <c r="MF24" s="255">
        <f t="shared" si="13"/>
        <v>574.14670381277813</v>
      </c>
      <c r="MG24" s="255">
        <f t="shared" si="13"/>
        <v>571.96270109631268</v>
      </c>
      <c r="MH24" s="255">
        <f t="shared" si="13"/>
        <v>321.36458211278557</v>
      </c>
      <c r="MI24" s="255">
        <f t="shared" si="13"/>
        <v>356.50883240594521</v>
      </c>
      <c r="MJ24" s="255">
        <f t="shared" si="13"/>
        <v>544.16769300995293</v>
      </c>
      <c r="MK24" s="255">
        <f t="shared" si="13"/>
        <v>472.05534136389076</v>
      </c>
      <c r="ML24" s="255">
        <f t="shared" si="13"/>
        <v>474.6569401129276</v>
      </c>
      <c r="MM24" s="255">
        <f t="shared" si="13"/>
        <v>506.83682000781158</v>
      </c>
      <c r="MN24" s="255">
        <f t="shared" si="13"/>
        <v>487.34900440678388</v>
      </c>
      <c r="MO24" s="255">
        <f t="shared" si="13"/>
        <v>458.15409662410201</v>
      </c>
      <c r="MP24" s="255">
        <f t="shared" si="13"/>
        <v>528.67787258974352</v>
      </c>
      <c r="MQ24" s="255">
        <f t="shared" si="13"/>
        <v>432.97123227836903</v>
      </c>
      <c r="MR24" s="255">
        <f t="shared" si="13"/>
        <v>425.79577994973641</v>
      </c>
      <c r="MS24" s="255">
        <f t="shared" si="13"/>
        <v>496.83102222886021</v>
      </c>
      <c r="MT24" s="255">
        <f t="shared" si="13"/>
        <v>540.47143837967644</v>
      </c>
      <c r="MU24" s="255">
        <f t="shared" si="13"/>
        <v>430.52391782049074</v>
      </c>
      <c r="MV24" s="255">
        <f t="shared" si="13"/>
        <v>473.95515645798923</v>
      </c>
      <c r="MW24" s="255">
        <f t="shared" si="13"/>
        <v>451.90507062332631</v>
      </c>
      <c r="MX24" s="255">
        <f t="shared" si="13"/>
        <v>468.64164529619109</v>
      </c>
      <c r="MY24" s="255">
        <f t="shared" si="13"/>
        <v>481.39043001616108</v>
      </c>
      <c r="MZ24" s="255">
        <f t="shared" si="13"/>
        <v>493.68392823623594</v>
      </c>
      <c r="NA24" s="255">
        <f t="shared" si="13"/>
        <v>421.40941934994243</v>
      </c>
      <c r="NB24" s="255">
        <f t="shared" si="13"/>
        <v>496.78647449634599</v>
      </c>
      <c r="NC24" s="255">
        <f t="shared" si="13"/>
        <v>529.81376144655053</v>
      </c>
      <c r="ND24" s="255">
        <f t="shared" ref="ND24" si="14">ND18/(ND$6*ND$13+ND$6*ND$15)*1000</f>
        <v>500</v>
      </c>
    </row>
    <row r="25" spans="1:368" s="255" customFormat="1" ht="14.4" x14ac:dyDescent="0.3">
      <c r="A25" s="254"/>
      <c r="B25" s="257"/>
      <c r="E25" s="255" t="s">
        <v>1127</v>
      </c>
      <c r="F25" s="255" t="s">
        <v>407</v>
      </c>
      <c r="G25" s="255" t="s">
        <v>524</v>
      </c>
      <c r="K25" s="255">
        <f t="shared" si="6"/>
        <v>24</v>
      </c>
      <c r="L25" s="255" t="s">
        <v>622</v>
      </c>
      <c r="M25" s="255">
        <f t="shared" ref="M25:BX25" si="15">M19/(M$6*M$13+M$6*M$15)*1000</f>
        <v>1.6790552091831474</v>
      </c>
      <c r="N25" s="255">
        <f t="shared" si="15"/>
        <v>1.680756992288905</v>
      </c>
      <c r="O25" s="255">
        <f t="shared" si="15"/>
        <v>1.5152399578158868</v>
      </c>
      <c r="P25" s="255">
        <f t="shared" si="15"/>
        <v>1.7896416915034912</v>
      </c>
      <c r="Q25" s="255">
        <f t="shared" si="15"/>
        <v>1.7291842380527436</v>
      </c>
      <c r="R25" s="255">
        <f t="shared" si="15"/>
        <v>1.6370355842622548</v>
      </c>
      <c r="S25" s="255">
        <f t="shared" si="15"/>
        <v>1.6620753098192018</v>
      </c>
      <c r="T25" s="255">
        <f t="shared" si="15"/>
        <v>1.7372271501220331</v>
      </c>
      <c r="U25" s="255">
        <f t="shared" si="15"/>
        <v>1.6210974739579025</v>
      </c>
      <c r="V25" s="255">
        <f t="shared" si="15"/>
        <v>1.702960583158698</v>
      </c>
      <c r="W25" s="255">
        <f t="shared" si="15"/>
        <v>1.3010386819075723</v>
      </c>
      <c r="X25" s="255">
        <f t="shared" si="15"/>
        <v>1.6812374260105196</v>
      </c>
      <c r="Y25" s="255">
        <f t="shared" si="15"/>
        <v>1.694303665780954</v>
      </c>
      <c r="Z25" s="255">
        <f t="shared" si="15"/>
        <v>1.6084469622459798</v>
      </c>
      <c r="AA25" s="255">
        <f t="shared" si="15"/>
        <v>1.5185769254395147</v>
      </c>
      <c r="AB25" s="255">
        <f t="shared" si="15"/>
        <v>1.5584096720414278</v>
      </c>
      <c r="AC25" s="255">
        <f t="shared" si="15"/>
        <v>1.6587798024520464</v>
      </c>
      <c r="AD25" s="255">
        <f t="shared" si="15"/>
        <v>1.7712570101593397</v>
      </c>
      <c r="AE25" s="255">
        <f t="shared" si="15"/>
        <v>1.5509343346447342</v>
      </c>
      <c r="AF25" s="255">
        <f t="shared" si="15"/>
        <v>1.6946626747425868</v>
      </c>
      <c r="AG25" s="255">
        <f t="shared" si="15"/>
        <v>1.541155357361081</v>
      </c>
      <c r="AH25" s="255" t="e">
        <f t="shared" si="15"/>
        <v>#VALUE!</v>
      </c>
      <c r="AI25" s="255">
        <f t="shared" si="15"/>
        <v>1.6959765499334005</v>
      </c>
      <c r="AJ25" s="255">
        <f t="shared" si="15"/>
        <v>1.7000953809110626</v>
      </c>
      <c r="AK25" s="255">
        <f t="shared" si="15"/>
        <v>1.4569177912919682</v>
      </c>
      <c r="AL25" s="255">
        <f t="shared" si="15"/>
        <v>1.7737132022985804</v>
      </c>
      <c r="AM25" s="255">
        <f t="shared" si="15"/>
        <v>1.7706723844184189</v>
      </c>
      <c r="AN25" s="255">
        <f t="shared" si="15"/>
        <v>1.4494899516206645</v>
      </c>
      <c r="AO25" s="255">
        <f t="shared" si="15"/>
        <v>1.6906996760346293</v>
      </c>
      <c r="AP25" s="255">
        <f t="shared" si="15"/>
        <v>1.5274124790947035</v>
      </c>
      <c r="AQ25" s="255">
        <f t="shared" si="15"/>
        <v>1.6510713263665828</v>
      </c>
      <c r="AR25" s="255">
        <f t="shared" si="15"/>
        <v>1.4848564386045897</v>
      </c>
      <c r="AS25" s="255">
        <f t="shared" si="15"/>
        <v>1.8444020274093864</v>
      </c>
      <c r="AT25" s="255">
        <f t="shared" si="15"/>
        <v>1.7476594909422574</v>
      </c>
      <c r="AU25" s="255">
        <f t="shared" si="15"/>
        <v>1.4815975361162812</v>
      </c>
      <c r="AV25" s="255">
        <f t="shared" si="15"/>
        <v>1.5967702838506599</v>
      </c>
      <c r="AW25" s="255">
        <f t="shared" si="15"/>
        <v>1.6475855502811578</v>
      </c>
      <c r="AX25" s="255">
        <f t="shared" si="15"/>
        <v>1.6540063049666294</v>
      </c>
      <c r="AY25" s="255">
        <f t="shared" si="15"/>
        <v>1.6961224091129106</v>
      </c>
      <c r="AZ25" s="255">
        <f t="shared" si="15"/>
        <v>1.6759155353405033</v>
      </c>
      <c r="BA25" s="255">
        <f t="shared" si="15"/>
        <v>1.7044713974574088</v>
      </c>
      <c r="BB25" s="255">
        <f t="shared" si="15"/>
        <v>1.4588892275158791</v>
      </c>
      <c r="BC25" s="255">
        <f t="shared" si="15"/>
        <v>1.5865726628033128</v>
      </c>
      <c r="BD25" s="255">
        <f t="shared" si="15"/>
        <v>1.6834162956696401</v>
      </c>
      <c r="BE25" s="255">
        <f t="shared" si="15"/>
        <v>1.4405401911701612</v>
      </c>
      <c r="BF25" s="255">
        <f t="shared" si="15"/>
        <v>1.6839089122950053</v>
      </c>
      <c r="BG25" s="255">
        <f t="shared" si="15"/>
        <v>1.7515551425584042</v>
      </c>
      <c r="BH25" s="255">
        <f t="shared" si="15"/>
        <v>1.6257698268481531</v>
      </c>
      <c r="BI25" s="255">
        <f t="shared" si="15"/>
        <v>1.6194882568479094</v>
      </c>
      <c r="BJ25" s="255">
        <f t="shared" si="15"/>
        <v>1.5868082004031203</v>
      </c>
      <c r="BK25" s="255">
        <f t="shared" si="15"/>
        <v>1.6092013017734812</v>
      </c>
      <c r="BL25" s="255">
        <f t="shared" si="15"/>
        <v>1.693703535714294</v>
      </c>
      <c r="BM25" s="255">
        <f t="shared" si="15"/>
        <v>1.5345027986792266</v>
      </c>
      <c r="BN25" s="255">
        <f t="shared" si="15"/>
        <v>1.7192131954148946</v>
      </c>
      <c r="BO25" s="255">
        <f t="shared" si="15"/>
        <v>1.8114714032629182</v>
      </c>
      <c r="BP25" s="255">
        <f t="shared" si="15"/>
        <v>1.511300722093428</v>
      </c>
      <c r="BQ25" s="255">
        <f t="shared" si="15"/>
        <v>1.6638451422102547</v>
      </c>
      <c r="BR25" s="255">
        <f t="shared" si="15"/>
        <v>1.4220327722052117</v>
      </c>
      <c r="BS25" s="255">
        <f t="shared" si="15"/>
        <v>1.7039340532082372</v>
      </c>
      <c r="BT25" s="255">
        <f t="shared" si="15"/>
        <v>1.7237484027486532</v>
      </c>
      <c r="BU25" s="255">
        <f t="shared" si="15"/>
        <v>1.6769609192164616</v>
      </c>
      <c r="BV25" s="255">
        <f t="shared" si="15"/>
        <v>1.7378237740489031</v>
      </c>
      <c r="BW25" s="255">
        <f t="shared" si="15"/>
        <v>1.6922887018420176</v>
      </c>
      <c r="BX25" s="255">
        <f t="shared" si="15"/>
        <v>1.6373543572232478</v>
      </c>
      <c r="BY25" s="255">
        <f t="shared" ref="BY25:EJ25" si="16">BY19/(BY$6*BY$13+BY$6*BY$15)*1000</f>
        <v>1.6497444616459473</v>
      </c>
      <c r="BZ25" s="255">
        <f t="shared" si="16"/>
        <v>1.7340813100210002</v>
      </c>
      <c r="CA25" s="255">
        <f t="shared" si="16"/>
        <v>1.3655636594223153</v>
      </c>
      <c r="CB25" s="255">
        <f t="shared" si="16"/>
        <v>1.7504075230700999</v>
      </c>
      <c r="CC25" s="255">
        <f t="shared" si="16"/>
        <v>1.5410674717792836</v>
      </c>
      <c r="CD25" s="255">
        <f t="shared" si="16"/>
        <v>1.6266019982492246</v>
      </c>
      <c r="CE25" s="255">
        <f t="shared" si="16"/>
        <v>1.4321223571604398</v>
      </c>
      <c r="CF25" s="255">
        <f t="shared" si="16"/>
        <v>1.5128578029236479</v>
      </c>
      <c r="CG25" s="255">
        <f t="shared" si="16"/>
        <v>1.7492301108881108</v>
      </c>
      <c r="CH25" s="255">
        <f t="shared" si="16"/>
        <v>1.6395102926416503</v>
      </c>
      <c r="CI25" s="255">
        <f t="shared" si="16"/>
        <v>1.6571263598706456</v>
      </c>
      <c r="CJ25" s="255">
        <f t="shared" si="16"/>
        <v>1.7268393979785839</v>
      </c>
      <c r="CK25" s="255">
        <f t="shared" si="16"/>
        <v>1.6845303260146194</v>
      </c>
      <c r="CL25" s="255">
        <f t="shared" si="16"/>
        <v>1.683952705311675</v>
      </c>
      <c r="CM25" s="255">
        <f t="shared" si="16"/>
        <v>1.5273325425054389</v>
      </c>
      <c r="CN25" s="255">
        <f t="shared" si="16"/>
        <v>1.7132776877875415</v>
      </c>
      <c r="CO25" s="255">
        <f t="shared" si="16"/>
        <v>1.6373912508066055</v>
      </c>
      <c r="CP25" s="255">
        <f t="shared" si="16"/>
        <v>1.7203349692230097</v>
      </c>
      <c r="CQ25" s="255">
        <f t="shared" si="16"/>
        <v>1.6965543254638327</v>
      </c>
      <c r="CR25" s="255">
        <f t="shared" si="16"/>
        <v>1.5388698419660582</v>
      </c>
      <c r="CS25" s="255">
        <f t="shared" si="16"/>
        <v>1.5126805442940712</v>
      </c>
      <c r="CT25" s="255">
        <f t="shared" si="16"/>
        <v>1.6310074746682357</v>
      </c>
      <c r="CU25" s="255">
        <f t="shared" si="16"/>
        <v>1.6183195225853757</v>
      </c>
      <c r="CV25" s="255">
        <f t="shared" si="16"/>
        <v>1.4820219271400579</v>
      </c>
      <c r="CW25" s="255">
        <f t="shared" si="16"/>
        <v>1.7090293053516075</v>
      </c>
      <c r="CX25" s="255">
        <f t="shared" si="16"/>
        <v>1.7197642368745685</v>
      </c>
      <c r="CY25" s="255">
        <f t="shared" si="16"/>
        <v>1.7282177030166381</v>
      </c>
      <c r="CZ25" s="255">
        <f t="shared" si="16"/>
        <v>1.5302176262631941</v>
      </c>
      <c r="DA25" s="255">
        <f t="shared" si="16"/>
        <v>1.6346996620094068</v>
      </c>
      <c r="DB25" s="255">
        <f t="shared" si="16"/>
        <v>1.5019209906614865</v>
      </c>
      <c r="DC25" s="255">
        <f t="shared" si="16"/>
        <v>1.7082564553536903</v>
      </c>
      <c r="DD25" s="255">
        <f t="shared" si="16"/>
        <v>1.7140025449482694</v>
      </c>
      <c r="DE25" s="255">
        <f t="shared" si="16"/>
        <v>1.787688032554813</v>
      </c>
      <c r="DF25" s="255">
        <f t="shared" si="16"/>
        <v>1.6937955474885125</v>
      </c>
      <c r="DG25" s="255">
        <f t="shared" si="16"/>
        <v>1.5805515769279261</v>
      </c>
      <c r="DH25" s="255">
        <f t="shared" si="16"/>
        <v>1.6156200531375702</v>
      </c>
      <c r="DI25" s="255">
        <f t="shared" si="16"/>
        <v>1.6454629523547617</v>
      </c>
      <c r="DJ25" s="255">
        <f t="shared" si="16"/>
        <v>1.7135528476067849</v>
      </c>
      <c r="DK25" s="255">
        <f t="shared" si="16"/>
        <v>1.7322163858394728</v>
      </c>
      <c r="DL25" s="255">
        <f t="shared" si="16"/>
        <v>1.7073610495523404</v>
      </c>
      <c r="DM25" s="255">
        <f t="shared" si="16"/>
        <v>1.692403596285158</v>
      </c>
      <c r="DN25" s="255">
        <f t="shared" si="16"/>
        <v>1.6908972627564116</v>
      </c>
      <c r="DO25" s="255">
        <f t="shared" si="16"/>
        <v>1.6761106436229476</v>
      </c>
      <c r="DP25" s="255">
        <f t="shared" si="16"/>
        <v>1.7358048374861677</v>
      </c>
      <c r="DQ25" s="255">
        <f t="shared" si="16"/>
        <v>1.646890310979944</v>
      </c>
      <c r="DR25" s="255">
        <f t="shared" si="16"/>
        <v>1.3893325727071755</v>
      </c>
      <c r="DS25" s="255">
        <f t="shared" si="16"/>
        <v>1.5781348573533667</v>
      </c>
      <c r="DT25" s="255">
        <f t="shared" si="16"/>
        <v>1.543561940202135</v>
      </c>
      <c r="DU25" s="255">
        <f t="shared" si="16"/>
        <v>1.3800950921365187</v>
      </c>
      <c r="DV25" s="255">
        <f t="shared" si="16"/>
        <v>1.6275124079343275</v>
      </c>
      <c r="DW25" s="255">
        <f t="shared" si="16"/>
        <v>1.6149364285100436</v>
      </c>
      <c r="DX25" s="255">
        <f t="shared" si="16"/>
        <v>1.6856776241972948</v>
      </c>
      <c r="DY25" s="255">
        <f t="shared" si="16"/>
        <v>1.6487637707259835</v>
      </c>
      <c r="DZ25" s="255">
        <f t="shared" si="16"/>
        <v>1.5950327867160998</v>
      </c>
      <c r="EA25" s="255">
        <f t="shared" si="16"/>
        <v>1.8234902428686659</v>
      </c>
      <c r="EB25" s="255">
        <f t="shared" si="16"/>
        <v>1.7358002946679867</v>
      </c>
      <c r="EC25" s="255">
        <f t="shared" si="16"/>
        <v>1.7040486037855229</v>
      </c>
      <c r="ED25" s="255">
        <f t="shared" si="16"/>
        <v>1.6992473846755951</v>
      </c>
      <c r="EE25" s="255">
        <f t="shared" si="16"/>
        <v>1.7017297391475072</v>
      </c>
      <c r="EF25" s="255">
        <f t="shared" si="16"/>
        <v>1.6161097721469919</v>
      </c>
      <c r="EG25" s="255">
        <f t="shared" si="16"/>
        <v>1.7346554755905648</v>
      </c>
      <c r="EH25" s="255">
        <f t="shared" si="16"/>
        <v>1.6999986002847631</v>
      </c>
      <c r="EI25" s="255">
        <f t="shared" si="16"/>
        <v>1.7282394712547238</v>
      </c>
      <c r="EJ25" s="255">
        <f t="shared" si="16"/>
        <v>1.605625111165091</v>
      </c>
      <c r="EK25" s="255">
        <f t="shared" ref="EK25:GV25" si="17">EK19/(EK$6*EK$13+EK$6*EK$15)*1000</f>
        <v>1.706973506953718</v>
      </c>
      <c r="EL25" s="255">
        <f t="shared" si="17"/>
        <v>1.7271525746239023</v>
      </c>
      <c r="EM25" s="255">
        <f t="shared" si="17"/>
        <v>1.7095297422145823</v>
      </c>
      <c r="EN25" s="255">
        <f t="shared" si="17"/>
        <v>1.6476611360278215</v>
      </c>
      <c r="EO25" s="255">
        <f t="shared" si="17"/>
        <v>1.6663130971554083</v>
      </c>
      <c r="EP25" s="255">
        <f t="shared" si="17"/>
        <v>1.6915318293137269</v>
      </c>
      <c r="EQ25" s="255">
        <f t="shared" si="17"/>
        <v>1.7245297967603108</v>
      </c>
      <c r="ER25" s="255">
        <f t="shared" si="17"/>
        <v>1.6297281530557624</v>
      </c>
      <c r="ES25" s="255">
        <f t="shared" si="17"/>
        <v>1.5481987777259365</v>
      </c>
      <c r="ET25" s="255">
        <f t="shared" si="17"/>
        <v>1.6657369192760814</v>
      </c>
      <c r="EU25" s="255">
        <f t="shared" si="17"/>
        <v>1.6777534358231585</v>
      </c>
      <c r="EV25" s="255">
        <f t="shared" si="17"/>
        <v>1.6231600340511838</v>
      </c>
      <c r="EW25" s="255">
        <f t="shared" si="17"/>
        <v>1.655716995940189</v>
      </c>
      <c r="EX25" s="255">
        <f t="shared" si="17"/>
        <v>1.6030110931997603</v>
      </c>
      <c r="EY25" s="255">
        <f t="shared" si="17"/>
        <v>1.7504875742447847</v>
      </c>
      <c r="EZ25" s="255">
        <f t="shared" si="17"/>
        <v>1.6933043396699443</v>
      </c>
      <c r="FA25" s="255">
        <f t="shared" si="17"/>
        <v>1.5509245095632729</v>
      </c>
      <c r="FB25" s="255">
        <f t="shared" si="17"/>
        <v>1.7391263743772893</v>
      </c>
      <c r="FC25" s="255">
        <f t="shared" si="17"/>
        <v>1.6707385363498255</v>
      </c>
      <c r="FD25" s="255">
        <f t="shared" si="17"/>
        <v>1.4932118695623029</v>
      </c>
      <c r="FE25" s="255">
        <f t="shared" si="17"/>
        <v>1.6921853917116079</v>
      </c>
      <c r="FF25" s="255">
        <f t="shared" si="17"/>
        <v>1.6804889579914259</v>
      </c>
      <c r="FG25" s="255">
        <f t="shared" si="17"/>
        <v>1.6367398901936356</v>
      </c>
      <c r="FH25" s="255">
        <f t="shared" si="17"/>
        <v>1.6511862458559174</v>
      </c>
      <c r="FI25" s="255">
        <f t="shared" si="17"/>
        <v>1.6316689362209806</v>
      </c>
      <c r="FJ25" s="255">
        <f t="shared" si="17"/>
        <v>1.6632662515875576</v>
      </c>
      <c r="FK25" s="255">
        <f t="shared" si="17"/>
        <v>1.6795447394069485</v>
      </c>
      <c r="FL25" s="255">
        <f t="shared" si="17"/>
        <v>1.7091338541015226</v>
      </c>
      <c r="FM25" s="255">
        <f t="shared" si="17"/>
        <v>1.7653899706986715</v>
      </c>
      <c r="FN25" s="255">
        <f t="shared" si="17"/>
        <v>1.6497265104151932</v>
      </c>
      <c r="FO25" s="255">
        <f t="shared" si="17"/>
        <v>1.7258739833024035</v>
      </c>
      <c r="FP25" s="255">
        <f t="shared" si="17"/>
        <v>1.7435548169934265</v>
      </c>
      <c r="FQ25" s="255">
        <f t="shared" si="17"/>
        <v>1.5769808060056769</v>
      </c>
      <c r="FR25" s="255">
        <f t="shared" si="17"/>
        <v>1.613104062859692</v>
      </c>
      <c r="FS25" s="255">
        <f t="shared" si="17"/>
        <v>1.7899686358367541</v>
      </c>
      <c r="FT25" s="255">
        <f t="shared" si="17"/>
        <v>1.6806551634914617</v>
      </c>
      <c r="FU25" s="255">
        <f t="shared" si="17"/>
        <v>1.6896656354216917</v>
      </c>
      <c r="FV25" s="255">
        <f t="shared" si="17"/>
        <v>1.5981704032951891</v>
      </c>
      <c r="FW25" s="255">
        <f t="shared" si="17"/>
        <v>1.6891531965408162</v>
      </c>
      <c r="FX25" s="255">
        <f t="shared" si="17"/>
        <v>1.6353289969887475</v>
      </c>
      <c r="FY25" s="255">
        <f t="shared" si="17"/>
        <v>1.4133317387187696</v>
      </c>
      <c r="FZ25" s="255">
        <f t="shared" si="17"/>
        <v>1.6810639522979614</v>
      </c>
      <c r="GA25" s="255">
        <f t="shared" si="17"/>
        <v>1.7660349760028082</v>
      </c>
      <c r="GB25" s="255">
        <f t="shared" si="17"/>
        <v>1.6341178647522367</v>
      </c>
      <c r="GC25" s="255">
        <f t="shared" si="17"/>
        <v>1.6597753572689871</v>
      </c>
      <c r="GD25" s="255">
        <f t="shared" si="17"/>
        <v>1.6072816889342676</v>
      </c>
      <c r="GE25" s="255">
        <f t="shared" si="17"/>
        <v>1.6209430906274853</v>
      </c>
      <c r="GF25" s="255">
        <f t="shared" si="17"/>
        <v>1.6797670161308818</v>
      </c>
      <c r="GG25" s="255">
        <f t="shared" si="17"/>
        <v>1.556443221582777</v>
      </c>
      <c r="GH25" s="255">
        <f t="shared" si="17"/>
        <v>1.6447747809290558</v>
      </c>
      <c r="GI25" s="255">
        <f t="shared" si="17"/>
        <v>1.6935234979384619</v>
      </c>
      <c r="GJ25" s="255">
        <f t="shared" si="17"/>
        <v>1.7284429005426145</v>
      </c>
      <c r="GK25" s="255">
        <f t="shared" si="17"/>
        <v>1.6352035578557758</v>
      </c>
      <c r="GL25" s="255">
        <f t="shared" si="17"/>
        <v>1.5518625167746987</v>
      </c>
      <c r="GM25" s="255">
        <f t="shared" si="17"/>
        <v>1.6981721642614263</v>
      </c>
      <c r="GN25" s="255">
        <f t="shared" si="17"/>
        <v>1.7587993658817491</v>
      </c>
      <c r="GO25" s="255">
        <f t="shared" si="17"/>
        <v>1.4379927170012279</v>
      </c>
      <c r="GP25" s="255">
        <f t="shared" si="17"/>
        <v>1.6194712345679365</v>
      </c>
      <c r="GQ25" s="255">
        <f t="shared" si="17"/>
        <v>1.6515754517981376</v>
      </c>
      <c r="GR25" s="255">
        <f t="shared" si="17"/>
        <v>1.6010314283320495</v>
      </c>
      <c r="GS25" s="255">
        <f t="shared" si="17"/>
        <v>1.7541225734814403</v>
      </c>
      <c r="GT25" s="255">
        <f t="shared" si="17"/>
        <v>1.7278553696535528</v>
      </c>
      <c r="GU25" s="255">
        <f t="shared" si="17"/>
        <v>1.5238146395330583</v>
      </c>
      <c r="GV25" s="255">
        <f t="shared" si="17"/>
        <v>1.6943978455272626</v>
      </c>
      <c r="GW25" s="255">
        <f t="shared" ref="GW25:JJ25" si="18">GW19/(GW$6*GW$13+GW$6*GW$15)*1000</f>
        <v>1.6808197679265455</v>
      </c>
      <c r="GX25" s="255">
        <f t="shared" si="18"/>
        <v>1.5907635505389115</v>
      </c>
      <c r="GY25" s="255">
        <f t="shared" si="18"/>
        <v>1.7302526538960261</v>
      </c>
      <c r="GZ25" s="255">
        <f t="shared" si="18"/>
        <v>1.66331391695717</v>
      </c>
      <c r="HA25" s="255">
        <f t="shared" si="18"/>
        <v>1.5379787477954865</v>
      </c>
      <c r="HB25" s="255">
        <f t="shared" si="18"/>
        <v>1.5483403377692417</v>
      </c>
      <c r="HC25" s="255">
        <f t="shared" si="18"/>
        <v>1.6576891471069324</v>
      </c>
      <c r="HD25" s="255">
        <f t="shared" si="18"/>
        <v>1.4634918067001805</v>
      </c>
      <c r="HE25" s="255">
        <f t="shared" si="18"/>
        <v>1.4420870402360817</v>
      </c>
      <c r="HF25" s="255">
        <f t="shared" si="18"/>
        <v>1.6560328792285954</v>
      </c>
      <c r="HG25" s="255">
        <f t="shared" si="18"/>
        <v>1.5139427455918724</v>
      </c>
      <c r="HH25" s="255">
        <f t="shared" si="18"/>
        <v>1.5696935993696244</v>
      </c>
      <c r="HI25" s="255">
        <f t="shared" si="18"/>
        <v>1.3794763859713053</v>
      </c>
      <c r="HJ25" s="255">
        <f t="shared" si="18"/>
        <v>1.6940340899516126</v>
      </c>
      <c r="HK25" s="255">
        <f t="shared" si="18"/>
        <v>1.7233442505897536</v>
      </c>
      <c r="HL25" s="255">
        <f t="shared" si="18"/>
        <v>1.7687654362285146</v>
      </c>
      <c r="HM25" s="255">
        <f t="shared" si="18"/>
        <v>1.6874850209788856</v>
      </c>
      <c r="HN25" s="255">
        <f t="shared" si="18"/>
        <v>1.7424923853393914</v>
      </c>
      <c r="HO25" s="255">
        <f t="shared" si="18"/>
        <v>1.6005054255128344</v>
      </c>
      <c r="HP25" s="255">
        <f t="shared" si="18"/>
        <v>1.6451152968295009</v>
      </c>
      <c r="HQ25" s="255">
        <f t="shared" si="18"/>
        <v>1.6281693705970604</v>
      </c>
      <c r="HR25" s="255">
        <f t="shared" si="18"/>
        <v>1.6722551353251431</v>
      </c>
      <c r="HS25" s="255">
        <f t="shared" si="18"/>
        <v>1.4564852796669698</v>
      </c>
      <c r="HT25" s="255">
        <f t="shared" si="18"/>
        <v>1.6499865229497663</v>
      </c>
      <c r="HU25" s="255">
        <f t="shared" si="18"/>
        <v>1.7524315512974897</v>
      </c>
      <c r="HV25" s="255">
        <f t="shared" si="18"/>
        <v>1.7069316482817498</v>
      </c>
      <c r="HW25" s="255">
        <f t="shared" si="18"/>
        <v>1.7277703890876839</v>
      </c>
      <c r="HX25" s="255">
        <f t="shared" si="18"/>
        <v>1.6156320218214177</v>
      </c>
      <c r="HY25" s="255">
        <f t="shared" si="18"/>
        <v>1.5056830429990733</v>
      </c>
      <c r="HZ25" s="255">
        <f t="shared" si="18"/>
        <v>1.6712735265738576</v>
      </c>
      <c r="IA25" s="255">
        <f t="shared" si="18"/>
        <v>1.6611386808500157</v>
      </c>
      <c r="IB25" s="255">
        <f t="shared" si="18"/>
        <v>1.6661752340615112</v>
      </c>
      <c r="IC25" s="255">
        <f t="shared" si="18"/>
        <v>1.7053644751937169</v>
      </c>
      <c r="ID25" s="255">
        <f t="shared" si="18"/>
        <v>1.5413622622293508</v>
      </c>
      <c r="IE25" s="255">
        <f t="shared" si="18"/>
        <v>1.6975516722328248</v>
      </c>
      <c r="IF25" s="255">
        <f t="shared" si="18"/>
        <v>1.6620389564777007</v>
      </c>
      <c r="IG25" s="255">
        <f t="shared" si="18"/>
        <v>1.5011853883447344</v>
      </c>
      <c r="IH25" s="255">
        <f t="shared" si="18"/>
        <v>1.555505350862294</v>
      </c>
      <c r="II25" s="255">
        <f t="shared" si="18"/>
        <v>1.5830517853971933</v>
      </c>
      <c r="IJ25" s="255">
        <f t="shared" si="18"/>
        <v>1.6097888111044083</v>
      </c>
      <c r="IK25" s="255">
        <f t="shared" si="18"/>
        <v>1.7371624878648741</v>
      </c>
      <c r="IL25" s="255">
        <f t="shared" si="18"/>
        <v>1.5858310028077667</v>
      </c>
      <c r="IM25" s="255">
        <f t="shared" si="18"/>
        <v>1.7586417390150544</v>
      </c>
      <c r="IN25" s="255">
        <f t="shared" si="18"/>
        <v>1.6142010422014625</v>
      </c>
      <c r="IO25" s="255">
        <f t="shared" si="18"/>
        <v>1.7230161594328932</v>
      </c>
      <c r="IP25" s="255">
        <f t="shared" si="18"/>
        <v>1.4503249182741216</v>
      </c>
      <c r="IQ25" s="255">
        <f t="shared" si="18"/>
        <v>1.7055040581129</v>
      </c>
      <c r="IR25" s="255">
        <f t="shared" si="18"/>
        <v>1.649849033296193</v>
      </c>
      <c r="IS25" s="255">
        <f t="shared" si="18"/>
        <v>1.6463692744965759</v>
      </c>
      <c r="IT25" s="255">
        <f t="shared" si="18"/>
        <v>1.4297745765594738</v>
      </c>
      <c r="IU25" s="255">
        <f t="shared" si="18"/>
        <v>1.5496611104390339</v>
      </c>
      <c r="IV25" s="255">
        <f t="shared" si="18"/>
        <v>1.6702278269951252</v>
      </c>
      <c r="IW25" s="255">
        <f t="shared" si="18"/>
        <v>1.598793346316921</v>
      </c>
      <c r="IX25" s="255">
        <f t="shared" si="18"/>
        <v>1.7104894605660184</v>
      </c>
      <c r="IY25" s="255">
        <f t="shared" si="18"/>
        <v>1.8202631654084696</v>
      </c>
      <c r="IZ25" s="255">
        <f t="shared" si="18"/>
        <v>1.729641968848538</v>
      </c>
      <c r="JA25" s="255">
        <f t="shared" si="18"/>
        <v>1.5906617144309307</v>
      </c>
      <c r="JB25" s="255">
        <f t="shared" si="18"/>
        <v>1.6930685548922151</v>
      </c>
      <c r="JC25" s="255">
        <f t="shared" si="18"/>
        <v>1.5671025120918036</v>
      </c>
      <c r="JD25" s="255">
        <f t="shared" si="18"/>
        <v>1.7271709582146464</v>
      </c>
      <c r="JE25" s="255">
        <f t="shared" si="18"/>
        <v>1.6648109788940477</v>
      </c>
      <c r="JF25" s="255">
        <f t="shared" si="18"/>
        <v>1.6891691657054981</v>
      </c>
      <c r="JG25" s="255">
        <f t="shared" si="18"/>
        <v>1.705958361906045</v>
      </c>
      <c r="JH25" s="255">
        <f t="shared" si="18"/>
        <v>1.5422547809036926</v>
      </c>
      <c r="JI25" s="255">
        <f t="shared" si="18"/>
        <v>1.6458737437627384</v>
      </c>
      <c r="JJ25" s="255">
        <f t="shared" si="18"/>
        <v>1.6787483682587145</v>
      </c>
      <c r="JL25" s="255">
        <f t="shared" ref="JL25:KQ25" si="19">JL19/(JL$6*JL$13+JL$6*JL$15)*1000</f>
        <v>1.7424060945837943</v>
      </c>
      <c r="JM25" s="255">
        <f t="shared" si="19"/>
        <v>1.717957477272319</v>
      </c>
      <c r="JN25" s="255">
        <f t="shared" si="19"/>
        <v>1.5511415514628537</v>
      </c>
      <c r="JO25" s="255">
        <f t="shared" si="19"/>
        <v>1.5753996216163986</v>
      </c>
      <c r="JP25" s="255">
        <f t="shared" si="19"/>
        <v>1.7404917852694755</v>
      </c>
      <c r="JQ25" s="255">
        <f t="shared" si="19"/>
        <v>1.8311679752348886</v>
      </c>
      <c r="JR25" s="255">
        <f t="shared" si="19"/>
        <v>1.754769955794665</v>
      </c>
      <c r="JS25" s="255">
        <f t="shared" si="19"/>
        <v>1.7228356176094997</v>
      </c>
      <c r="JT25" s="255">
        <f t="shared" si="19"/>
        <v>1.6597927790985878</v>
      </c>
      <c r="JU25" s="255">
        <f t="shared" si="19"/>
        <v>1.6364031017924976</v>
      </c>
      <c r="JV25" s="255">
        <f t="shared" si="19"/>
        <v>1.6418059318562985</v>
      </c>
      <c r="JW25" s="255">
        <f t="shared" si="19"/>
        <v>1.712512065424894</v>
      </c>
      <c r="JX25" s="255">
        <f t="shared" si="19"/>
        <v>1.682869035293602</v>
      </c>
      <c r="JY25" s="255">
        <f t="shared" si="19"/>
        <v>1.7077315668361408</v>
      </c>
      <c r="JZ25" s="255">
        <f t="shared" si="19"/>
        <v>1.4579242304879363</v>
      </c>
      <c r="KA25" s="255">
        <f t="shared" si="19"/>
        <v>1.7563906518054779</v>
      </c>
      <c r="KB25" s="255">
        <f t="shared" si="19"/>
        <v>1.7275253129980157</v>
      </c>
      <c r="KC25" s="255">
        <f t="shared" si="19"/>
        <v>1.6007239068947092</v>
      </c>
      <c r="KD25" s="255">
        <f t="shared" si="19"/>
        <v>1.7373243791498552</v>
      </c>
      <c r="KE25" s="255">
        <f t="shared" si="19"/>
        <v>1.7265883429010134</v>
      </c>
      <c r="KF25" s="255">
        <f t="shared" si="19"/>
        <v>1.4742707066480869</v>
      </c>
      <c r="KG25" s="255" t="e">
        <f t="shared" si="19"/>
        <v>#VALUE!</v>
      </c>
      <c r="KH25" s="255">
        <f t="shared" si="19"/>
        <v>1.7173833132615381</v>
      </c>
      <c r="KI25" s="255">
        <f t="shared" si="19"/>
        <v>1.6529595908024901</v>
      </c>
      <c r="KJ25" s="255">
        <f t="shared" si="19"/>
        <v>1.6074840547658964</v>
      </c>
      <c r="KK25" s="255">
        <f t="shared" si="19"/>
        <v>1.571217193110271</v>
      </c>
      <c r="KL25" s="255">
        <f t="shared" si="19"/>
        <v>1.581512605042017</v>
      </c>
      <c r="KM25" s="255">
        <f t="shared" si="19"/>
        <v>1.7989308090709524</v>
      </c>
      <c r="KN25" s="255">
        <f t="shared" si="19"/>
        <v>1.6732113717104529</v>
      </c>
      <c r="KO25" s="255">
        <f t="shared" si="19"/>
        <v>1.7667866871579785</v>
      </c>
      <c r="KP25" s="255">
        <f t="shared" si="19"/>
        <v>1.6277810150091194</v>
      </c>
      <c r="KQ25" s="255">
        <f t="shared" si="19"/>
        <v>1.6420143111681529</v>
      </c>
      <c r="KR25" s="255">
        <f t="shared" ref="KR25:LW25" si="20">KR19/(KR$6*KR$13+KR$6*KR$15)*1000</f>
        <v>1.6403092046188068</v>
      </c>
      <c r="KS25" s="255">
        <f t="shared" si="20"/>
        <v>1.7677554306169343</v>
      </c>
      <c r="KT25" s="255">
        <f t="shared" si="20"/>
        <v>1.393889493902674</v>
      </c>
      <c r="KU25" s="255">
        <f t="shared" si="20"/>
        <v>1.5264318247641813</v>
      </c>
      <c r="KV25" s="255">
        <f t="shared" si="20"/>
        <v>1.4354419417480371</v>
      </c>
      <c r="KW25" s="255">
        <f t="shared" si="20"/>
        <v>1.6802910418961616</v>
      </c>
      <c r="KX25" s="255">
        <f t="shared" si="20"/>
        <v>1.727972342924684</v>
      </c>
      <c r="KY25" s="255">
        <f t="shared" si="20"/>
        <v>1.7384393711736881</v>
      </c>
      <c r="KZ25" s="255">
        <f t="shared" si="20"/>
        <v>1.6682091800610679</v>
      </c>
      <c r="LA25" s="255">
        <f t="shared" si="20"/>
        <v>1.7958250859964142</v>
      </c>
      <c r="LB25" s="255">
        <f t="shared" si="20"/>
        <v>1.6938972437306326</v>
      </c>
      <c r="LC25" s="255">
        <f t="shared" si="20"/>
        <v>1.6628554660576509</v>
      </c>
      <c r="LD25" s="255">
        <f t="shared" si="20"/>
        <v>1.6574489279371227</v>
      </c>
      <c r="LE25" s="255">
        <f t="shared" si="20"/>
        <v>1.6746783908995102</v>
      </c>
      <c r="LF25" s="255">
        <f t="shared" si="20"/>
        <v>1.6667012466200841</v>
      </c>
      <c r="LG25" s="255">
        <f t="shared" si="20"/>
        <v>1.7571351062424099</v>
      </c>
      <c r="LH25" s="255">
        <f t="shared" si="20"/>
        <v>1.6617144894051039</v>
      </c>
      <c r="LI25" s="255">
        <f t="shared" si="20"/>
        <v>1.7400713616758328</v>
      </c>
      <c r="LJ25" s="255">
        <f t="shared" si="20"/>
        <v>1.7676517349067673</v>
      </c>
      <c r="LK25" s="255">
        <f t="shared" si="20"/>
        <v>1.732969663561166</v>
      </c>
      <c r="LL25" s="255">
        <f t="shared" si="20"/>
        <v>1.5715573669867995</v>
      </c>
      <c r="LM25" s="255">
        <f t="shared" si="20"/>
        <v>1.641226332423217</v>
      </c>
      <c r="LN25" s="255">
        <f t="shared" si="20"/>
        <v>1.7427143089630857</v>
      </c>
      <c r="LO25" s="255">
        <f t="shared" si="20"/>
        <v>1.6245151942441338</v>
      </c>
      <c r="LP25" s="255">
        <f t="shared" si="20"/>
        <v>1.6867283489448313</v>
      </c>
      <c r="LQ25" s="255">
        <f t="shared" si="20"/>
        <v>1.6777498876448829</v>
      </c>
      <c r="LR25" s="255">
        <f t="shared" si="20"/>
        <v>1.1302618607743879</v>
      </c>
      <c r="LS25" s="255">
        <f t="shared" si="20"/>
        <v>1.6204568930804195</v>
      </c>
      <c r="LT25" s="255">
        <f t="shared" si="20"/>
        <v>1.6112427500387962</v>
      </c>
      <c r="LU25" s="255">
        <f t="shared" si="20"/>
        <v>1.6809643869016759</v>
      </c>
      <c r="LV25" s="255">
        <f t="shared" si="20"/>
        <v>1.6664404021858596</v>
      </c>
      <c r="LW25" s="255">
        <f t="shared" si="20"/>
        <v>1.6018123309510781</v>
      </c>
      <c r="LX25" s="255">
        <f t="shared" ref="LX25:NC25" si="21">LX19/(LX$6*LX$13+LX$6*LX$15)*1000</f>
        <v>1.6034190902311709</v>
      </c>
      <c r="LY25" s="255">
        <f t="shared" si="21"/>
        <v>1.7090817327593606</v>
      </c>
      <c r="LZ25" s="255">
        <f t="shared" si="21"/>
        <v>1.7176989175931257</v>
      </c>
      <c r="MA25" s="255">
        <f t="shared" si="21"/>
        <v>1.7253623117298946</v>
      </c>
      <c r="MB25" s="255">
        <f t="shared" si="21"/>
        <v>1.6686381751356727</v>
      </c>
      <c r="MC25" s="255">
        <f t="shared" si="21"/>
        <v>1.5259741926222981</v>
      </c>
      <c r="MD25" s="255">
        <f t="shared" si="21"/>
        <v>1.7422643858753388</v>
      </c>
      <c r="ME25" s="255">
        <f t="shared" si="21"/>
        <v>1.393381094382492</v>
      </c>
      <c r="MF25" s="255">
        <f t="shared" si="21"/>
        <v>1.7007959071683141</v>
      </c>
      <c r="MG25" s="255">
        <f t="shared" si="21"/>
        <v>1.6432757440172472</v>
      </c>
      <c r="MH25" s="255">
        <f t="shared" si="21"/>
        <v>1.5008125089005533</v>
      </c>
      <c r="MI25" s="255">
        <f t="shared" si="21"/>
        <v>1.6297328616194851</v>
      </c>
      <c r="MJ25" s="255">
        <f t="shared" si="21"/>
        <v>1.6017494451747349</v>
      </c>
      <c r="MK25" s="255">
        <f t="shared" si="21"/>
        <v>1.7093414104252571</v>
      </c>
      <c r="ML25" s="255">
        <f t="shared" si="21"/>
        <v>1.6642423369286332</v>
      </c>
      <c r="MM25" s="255">
        <f t="shared" si="21"/>
        <v>1.6990915906110151</v>
      </c>
      <c r="MN25" s="255">
        <f t="shared" si="21"/>
        <v>1.6561371015243673</v>
      </c>
      <c r="MO25" s="255">
        <f t="shared" si="21"/>
        <v>1.6111551626890459</v>
      </c>
      <c r="MP25" s="255">
        <f t="shared" si="21"/>
        <v>1.6390803415347355</v>
      </c>
      <c r="MQ25" s="255">
        <f t="shared" si="21"/>
        <v>1.6475489352212636</v>
      </c>
      <c r="MR25" s="255">
        <f t="shared" si="21"/>
        <v>1.8771552357145951</v>
      </c>
      <c r="MS25" s="255">
        <f t="shared" si="21"/>
        <v>1.4866694561876428</v>
      </c>
      <c r="MT25" s="255">
        <f t="shared" si="21"/>
        <v>1.6055589088039264</v>
      </c>
      <c r="MU25" s="255">
        <f t="shared" si="21"/>
        <v>1.6593572311775502</v>
      </c>
      <c r="MV25" s="255">
        <f t="shared" si="21"/>
        <v>1.6878563414624543</v>
      </c>
      <c r="MW25" s="255">
        <f t="shared" si="21"/>
        <v>1.6414723556535293</v>
      </c>
      <c r="MX25" s="255">
        <f t="shared" si="21"/>
        <v>1.6549177518850293</v>
      </c>
      <c r="MY25" s="255">
        <f t="shared" si="21"/>
        <v>1.5522703425124738</v>
      </c>
      <c r="MZ25" s="255">
        <f t="shared" si="21"/>
        <v>1.6550840943151426</v>
      </c>
      <c r="NA25" s="255">
        <f t="shared" si="21"/>
        <v>1.7309132989758131</v>
      </c>
      <c r="NB25" s="255">
        <f t="shared" si="21"/>
        <v>1.7333372657027237</v>
      </c>
      <c r="NC25" s="255">
        <f t="shared" si="21"/>
        <v>1.5958427203547059</v>
      </c>
      <c r="ND25" s="255">
        <v>1.5</v>
      </c>
    </row>
    <row r="26" spans="1:368" s="255" customFormat="1" ht="14.4" x14ac:dyDescent="0.3">
      <c r="A26" s="254"/>
      <c r="B26" s="257"/>
      <c r="E26" s="255" t="s">
        <v>522</v>
      </c>
      <c r="F26" s="255" t="s">
        <v>407</v>
      </c>
      <c r="G26" s="255" t="s">
        <v>28</v>
      </c>
      <c r="H26" s="255" t="s">
        <v>1163</v>
      </c>
      <c r="K26" s="255">
        <f t="shared" si="6"/>
        <v>25</v>
      </c>
      <c r="M26" s="255">
        <f>M20</f>
        <v>65</v>
      </c>
      <c r="N26" s="255">
        <v>65</v>
      </c>
      <c r="O26" s="255">
        <v>65</v>
      </c>
      <c r="P26" s="255">
        <v>65</v>
      </c>
      <c r="Q26" s="255">
        <v>65</v>
      </c>
      <c r="R26" s="255">
        <v>65</v>
      </c>
      <c r="S26" s="255">
        <v>65</v>
      </c>
      <c r="T26" s="255">
        <v>65</v>
      </c>
      <c r="U26" s="255">
        <v>65</v>
      </c>
      <c r="V26" s="255">
        <v>65</v>
      </c>
      <c r="W26" s="255">
        <v>65</v>
      </c>
      <c r="X26" s="255">
        <v>65</v>
      </c>
      <c r="Y26" s="255">
        <v>65</v>
      </c>
      <c r="Z26" s="255">
        <v>65</v>
      </c>
      <c r="AA26" s="255">
        <v>65</v>
      </c>
      <c r="AB26" s="255">
        <v>65</v>
      </c>
      <c r="AC26" s="255">
        <v>65</v>
      </c>
      <c r="AD26" s="255">
        <v>65</v>
      </c>
      <c r="AE26" s="255">
        <v>65</v>
      </c>
      <c r="AF26" s="255">
        <v>65</v>
      </c>
      <c r="AG26" s="255">
        <v>65</v>
      </c>
      <c r="AH26" s="255">
        <v>65</v>
      </c>
      <c r="AI26" s="255">
        <v>65</v>
      </c>
      <c r="AJ26" s="255">
        <v>65</v>
      </c>
      <c r="AK26" s="255">
        <v>65</v>
      </c>
      <c r="AL26" s="255">
        <v>65</v>
      </c>
      <c r="AM26" s="255">
        <v>65</v>
      </c>
      <c r="AN26" s="255">
        <v>65</v>
      </c>
      <c r="AO26" s="255">
        <v>65</v>
      </c>
      <c r="AP26" s="255">
        <v>65</v>
      </c>
      <c r="AQ26" s="255">
        <v>65</v>
      </c>
      <c r="AR26" s="255">
        <v>65</v>
      </c>
      <c r="AS26" s="255">
        <v>65</v>
      </c>
      <c r="AT26" s="255">
        <v>65</v>
      </c>
      <c r="AU26" s="255">
        <v>65</v>
      </c>
      <c r="AV26" s="255">
        <v>65</v>
      </c>
      <c r="AW26" s="255">
        <v>65</v>
      </c>
      <c r="AX26" s="255">
        <v>65</v>
      </c>
      <c r="AY26" s="255">
        <v>65</v>
      </c>
      <c r="AZ26" s="255">
        <v>65</v>
      </c>
      <c r="BA26" s="255">
        <v>65</v>
      </c>
      <c r="BB26" s="255">
        <v>65</v>
      </c>
      <c r="BC26" s="255">
        <v>65</v>
      </c>
      <c r="BD26" s="255">
        <v>65</v>
      </c>
      <c r="BE26" s="255">
        <v>65</v>
      </c>
      <c r="BF26" s="255">
        <v>65</v>
      </c>
      <c r="BG26" s="255">
        <v>65</v>
      </c>
      <c r="BH26" s="255">
        <v>65</v>
      </c>
      <c r="BI26" s="255">
        <v>65</v>
      </c>
      <c r="BJ26" s="255">
        <v>65</v>
      </c>
      <c r="BK26" s="255">
        <v>65</v>
      </c>
      <c r="BL26" s="255">
        <v>65</v>
      </c>
      <c r="BM26" s="255">
        <v>65</v>
      </c>
      <c r="BN26" s="255">
        <v>65</v>
      </c>
      <c r="BO26" s="255">
        <v>65</v>
      </c>
      <c r="BP26" s="255">
        <v>65</v>
      </c>
      <c r="BQ26" s="255">
        <v>65</v>
      </c>
      <c r="BR26" s="255">
        <v>65</v>
      </c>
      <c r="BS26" s="255">
        <v>65</v>
      </c>
      <c r="BT26" s="255">
        <v>65</v>
      </c>
      <c r="BU26" s="255">
        <v>65</v>
      </c>
      <c r="BV26" s="255">
        <v>65</v>
      </c>
      <c r="BW26" s="255">
        <v>65</v>
      </c>
      <c r="BX26" s="255">
        <v>65</v>
      </c>
      <c r="BY26" s="255">
        <v>65</v>
      </c>
      <c r="BZ26" s="255">
        <v>65</v>
      </c>
      <c r="CA26" s="255">
        <v>65</v>
      </c>
      <c r="CB26" s="255">
        <v>65</v>
      </c>
      <c r="CC26" s="255">
        <v>65</v>
      </c>
      <c r="CD26" s="255">
        <v>65</v>
      </c>
      <c r="CE26" s="255">
        <v>65</v>
      </c>
      <c r="CF26" s="255">
        <v>65</v>
      </c>
      <c r="CG26" s="255">
        <v>65</v>
      </c>
      <c r="CH26" s="255">
        <v>65</v>
      </c>
      <c r="CI26" s="255">
        <v>65</v>
      </c>
      <c r="CJ26" s="255">
        <v>65</v>
      </c>
      <c r="CK26" s="255">
        <v>65</v>
      </c>
      <c r="CL26" s="255">
        <v>65</v>
      </c>
      <c r="CM26" s="255">
        <v>65</v>
      </c>
      <c r="CN26" s="255">
        <v>65</v>
      </c>
      <c r="CO26" s="255">
        <v>65</v>
      </c>
      <c r="CP26" s="255">
        <v>65</v>
      </c>
      <c r="CQ26" s="255">
        <v>65</v>
      </c>
      <c r="CR26" s="255">
        <v>65</v>
      </c>
      <c r="CS26" s="255">
        <v>65</v>
      </c>
      <c r="CT26" s="255">
        <v>65</v>
      </c>
      <c r="CU26" s="255">
        <v>65</v>
      </c>
      <c r="CV26" s="255">
        <v>65</v>
      </c>
      <c r="CW26" s="255">
        <v>65</v>
      </c>
      <c r="CX26" s="255">
        <v>65</v>
      </c>
      <c r="CY26" s="255">
        <v>65</v>
      </c>
      <c r="CZ26" s="255">
        <v>65</v>
      </c>
      <c r="DA26" s="255">
        <v>65</v>
      </c>
      <c r="DB26" s="255">
        <v>65</v>
      </c>
      <c r="DC26" s="255">
        <v>65</v>
      </c>
      <c r="DD26" s="255">
        <v>65</v>
      </c>
      <c r="DE26" s="255">
        <v>65</v>
      </c>
      <c r="DF26" s="255">
        <v>65</v>
      </c>
      <c r="DG26" s="255">
        <v>65</v>
      </c>
      <c r="DH26" s="255">
        <v>65</v>
      </c>
      <c r="DI26" s="255">
        <v>65</v>
      </c>
      <c r="DJ26" s="255">
        <v>65</v>
      </c>
      <c r="DK26" s="255">
        <v>65</v>
      </c>
      <c r="DL26" s="255">
        <v>65</v>
      </c>
      <c r="DM26" s="255">
        <v>65</v>
      </c>
      <c r="DN26" s="255">
        <v>65</v>
      </c>
      <c r="DO26" s="255">
        <v>65</v>
      </c>
      <c r="DP26" s="255">
        <v>65</v>
      </c>
      <c r="DQ26" s="255">
        <v>65</v>
      </c>
      <c r="DR26" s="255">
        <v>65</v>
      </c>
      <c r="DS26" s="255">
        <v>65</v>
      </c>
      <c r="DT26" s="255">
        <v>65</v>
      </c>
      <c r="DU26" s="255">
        <v>65</v>
      </c>
      <c r="DV26" s="255">
        <v>65</v>
      </c>
      <c r="DW26" s="255">
        <v>65</v>
      </c>
      <c r="DX26" s="255">
        <v>65</v>
      </c>
      <c r="DY26" s="255">
        <v>65</v>
      </c>
      <c r="DZ26" s="255">
        <v>65</v>
      </c>
      <c r="EA26" s="255">
        <v>65</v>
      </c>
      <c r="EB26" s="255">
        <v>65</v>
      </c>
      <c r="EC26" s="255">
        <v>65</v>
      </c>
      <c r="ED26" s="255">
        <v>65</v>
      </c>
      <c r="EE26" s="255">
        <v>65</v>
      </c>
      <c r="EF26" s="255">
        <v>65</v>
      </c>
      <c r="EG26" s="255">
        <v>65</v>
      </c>
      <c r="EH26" s="255">
        <v>65</v>
      </c>
      <c r="EI26" s="255">
        <v>65</v>
      </c>
      <c r="EJ26" s="255">
        <v>65</v>
      </c>
      <c r="EK26" s="255">
        <v>65</v>
      </c>
      <c r="EL26" s="255">
        <v>65</v>
      </c>
      <c r="EM26" s="255">
        <v>65</v>
      </c>
      <c r="EN26" s="255">
        <v>65</v>
      </c>
      <c r="EO26" s="255">
        <v>65</v>
      </c>
      <c r="EP26" s="255">
        <v>65</v>
      </c>
      <c r="EQ26" s="255">
        <v>65</v>
      </c>
      <c r="ER26" s="255">
        <v>65</v>
      </c>
      <c r="ES26" s="255">
        <v>65</v>
      </c>
      <c r="ET26" s="255">
        <v>65</v>
      </c>
      <c r="EU26" s="255">
        <v>65</v>
      </c>
      <c r="EV26" s="255">
        <v>65</v>
      </c>
      <c r="EW26" s="255">
        <v>65</v>
      </c>
      <c r="EX26" s="255">
        <v>65</v>
      </c>
      <c r="EY26" s="255">
        <v>65</v>
      </c>
      <c r="EZ26" s="255">
        <v>65</v>
      </c>
      <c r="FA26" s="255">
        <v>65</v>
      </c>
      <c r="FB26" s="255">
        <v>65</v>
      </c>
      <c r="FC26" s="255">
        <v>65</v>
      </c>
      <c r="FD26" s="255">
        <v>65</v>
      </c>
      <c r="FE26" s="255">
        <v>65</v>
      </c>
      <c r="FF26" s="255">
        <v>65</v>
      </c>
      <c r="FG26" s="255">
        <v>65</v>
      </c>
      <c r="FH26" s="255">
        <v>65</v>
      </c>
      <c r="FI26" s="255">
        <v>65</v>
      </c>
      <c r="FJ26" s="255">
        <v>65</v>
      </c>
      <c r="FK26" s="255">
        <v>65</v>
      </c>
      <c r="FL26" s="255">
        <v>65</v>
      </c>
      <c r="FM26" s="255">
        <v>65</v>
      </c>
      <c r="FN26" s="255">
        <v>65</v>
      </c>
      <c r="FO26" s="255">
        <v>65</v>
      </c>
      <c r="FP26" s="255">
        <v>65</v>
      </c>
      <c r="FQ26" s="255">
        <v>65</v>
      </c>
      <c r="FR26" s="255">
        <v>65</v>
      </c>
      <c r="FS26" s="255">
        <v>65</v>
      </c>
      <c r="FT26" s="255">
        <v>65</v>
      </c>
      <c r="FU26" s="255">
        <v>65</v>
      </c>
      <c r="FV26" s="255">
        <v>65</v>
      </c>
      <c r="FW26" s="255">
        <v>65</v>
      </c>
      <c r="FX26" s="255">
        <v>65</v>
      </c>
      <c r="FY26" s="255">
        <v>65</v>
      </c>
      <c r="FZ26" s="255">
        <v>65</v>
      </c>
      <c r="GA26" s="255">
        <v>65</v>
      </c>
      <c r="GB26" s="255">
        <v>65</v>
      </c>
      <c r="GC26" s="255">
        <v>65</v>
      </c>
      <c r="GD26" s="255">
        <v>65</v>
      </c>
      <c r="GE26" s="255">
        <v>65</v>
      </c>
      <c r="GF26" s="255">
        <v>65</v>
      </c>
      <c r="GG26" s="255">
        <v>65</v>
      </c>
      <c r="GH26" s="255">
        <v>65</v>
      </c>
      <c r="GI26" s="255">
        <v>65</v>
      </c>
      <c r="GJ26" s="255">
        <v>65</v>
      </c>
      <c r="GK26" s="255">
        <v>65</v>
      </c>
      <c r="GL26" s="255">
        <v>65</v>
      </c>
      <c r="GM26" s="255">
        <v>65</v>
      </c>
      <c r="GN26" s="255">
        <v>65</v>
      </c>
      <c r="GO26" s="255">
        <v>65</v>
      </c>
      <c r="GP26" s="255">
        <v>65</v>
      </c>
      <c r="GQ26" s="255">
        <v>65</v>
      </c>
      <c r="GR26" s="255">
        <v>65</v>
      </c>
      <c r="GS26" s="255">
        <v>65</v>
      </c>
      <c r="GT26" s="255">
        <v>65</v>
      </c>
      <c r="GU26" s="255">
        <v>65</v>
      </c>
      <c r="GV26" s="255">
        <v>65</v>
      </c>
      <c r="GW26" s="255">
        <v>65</v>
      </c>
      <c r="GX26" s="255">
        <v>65</v>
      </c>
      <c r="GY26" s="255">
        <v>65</v>
      </c>
      <c r="GZ26" s="255">
        <v>65</v>
      </c>
      <c r="HA26" s="255">
        <v>65</v>
      </c>
      <c r="HB26" s="255">
        <v>65</v>
      </c>
      <c r="HC26" s="255">
        <v>65</v>
      </c>
      <c r="HD26" s="255">
        <v>65</v>
      </c>
      <c r="HE26" s="255">
        <v>65</v>
      </c>
      <c r="HF26" s="255">
        <v>65</v>
      </c>
      <c r="HG26" s="255">
        <v>65</v>
      </c>
      <c r="HH26" s="255">
        <v>65</v>
      </c>
      <c r="HI26" s="255">
        <v>65</v>
      </c>
      <c r="HJ26" s="255">
        <v>65</v>
      </c>
      <c r="HK26" s="255">
        <v>65</v>
      </c>
      <c r="HL26" s="255">
        <v>65</v>
      </c>
      <c r="HM26" s="255">
        <v>65</v>
      </c>
      <c r="HN26" s="255">
        <v>65</v>
      </c>
      <c r="HO26" s="255">
        <v>65</v>
      </c>
      <c r="HP26" s="255">
        <v>65</v>
      </c>
      <c r="HQ26" s="255">
        <v>65</v>
      </c>
      <c r="HR26" s="255">
        <v>65</v>
      </c>
      <c r="HS26" s="255">
        <v>65</v>
      </c>
      <c r="HT26" s="255">
        <v>65</v>
      </c>
      <c r="HU26" s="255">
        <v>65</v>
      </c>
      <c r="HV26" s="255">
        <v>65</v>
      </c>
      <c r="HW26" s="255">
        <v>65</v>
      </c>
      <c r="HX26" s="255">
        <v>65</v>
      </c>
      <c r="HY26" s="255">
        <v>65</v>
      </c>
      <c r="HZ26" s="255">
        <v>65</v>
      </c>
      <c r="IA26" s="255">
        <v>65</v>
      </c>
      <c r="IB26" s="255">
        <v>65</v>
      </c>
      <c r="IC26" s="255">
        <v>65</v>
      </c>
      <c r="ID26" s="255">
        <v>65</v>
      </c>
      <c r="IE26" s="255">
        <v>65</v>
      </c>
      <c r="IF26" s="255">
        <v>65</v>
      </c>
      <c r="IG26" s="255">
        <v>65</v>
      </c>
      <c r="IH26" s="255">
        <v>65</v>
      </c>
      <c r="II26" s="255">
        <v>65</v>
      </c>
      <c r="IJ26" s="255">
        <v>65</v>
      </c>
      <c r="IK26" s="255">
        <v>65</v>
      </c>
      <c r="IL26" s="255">
        <v>65</v>
      </c>
      <c r="IM26" s="255">
        <v>65</v>
      </c>
      <c r="IN26" s="255">
        <v>65</v>
      </c>
      <c r="IO26" s="255">
        <v>65</v>
      </c>
      <c r="IP26" s="255">
        <v>65</v>
      </c>
      <c r="IQ26" s="255">
        <v>65</v>
      </c>
      <c r="IR26" s="255">
        <v>65</v>
      </c>
      <c r="IS26" s="255">
        <v>65</v>
      </c>
      <c r="IT26" s="255">
        <v>65</v>
      </c>
      <c r="IU26" s="255">
        <v>65</v>
      </c>
      <c r="IV26" s="255">
        <v>65</v>
      </c>
      <c r="IW26" s="255">
        <v>65</v>
      </c>
      <c r="IX26" s="255">
        <v>65</v>
      </c>
      <c r="IY26" s="255">
        <v>65</v>
      </c>
      <c r="IZ26" s="255">
        <v>65</v>
      </c>
      <c r="JA26" s="255">
        <v>65</v>
      </c>
      <c r="JB26" s="255">
        <v>65</v>
      </c>
      <c r="JC26" s="255">
        <v>65</v>
      </c>
      <c r="JD26" s="255">
        <v>65</v>
      </c>
      <c r="JE26" s="255">
        <v>65</v>
      </c>
      <c r="JF26" s="255">
        <v>65</v>
      </c>
      <c r="JG26" s="255">
        <v>65</v>
      </c>
      <c r="JH26" s="255">
        <v>65</v>
      </c>
      <c r="JI26" s="255">
        <v>65</v>
      </c>
      <c r="JJ26" s="255">
        <v>65</v>
      </c>
      <c r="JK26" s="255">
        <v>65</v>
      </c>
      <c r="JL26" s="255">
        <v>65</v>
      </c>
      <c r="JM26" s="255">
        <v>65</v>
      </c>
      <c r="JN26" s="255">
        <v>65</v>
      </c>
      <c r="JO26" s="255">
        <v>65</v>
      </c>
      <c r="JP26" s="255">
        <v>65</v>
      </c>
      <c r="JQ26" s="255">
        <v>65</v>
      </c>
      <c r="JR26" s="255">
        <v>65</v>
      </c>
      <c r="JS26" s="255">
        <v>65</v>
      </c>
      <c r="JT26" s="255">
        <v>65</v>
      </c>
      <c r="JU26" s="255">
        <v>65</v>
      </c>
      <c r="JV26" s="255">
        <v>65</v>
      </c>
      <c r="JW26" s="255">
        <v>65</v>
      </c>
      <c r="JX26" s="255">
        <v>65</v>
      </c>
      <c r="JY26" s="255">
        <v>65</v>
      </c>
      <c r="JZ26" s="255">
        <v>65</v>
      </c>
      <c r="KA26" s="255">
        <v>65</v>
      </c>
      <c r="KB26" s="255">
        <v>65</v>
      </c>
      <c r="KC26" s="255">
        <v>65</v>
      </c>
      <c r="KD26" s="255">
        <v>65</v>
      </c>
      <c r="KE26" s="255">
        <v>65</v>
      </c>
      <c r="KF26" s="255">
        <v>65</v>
      </c>
      <c r="KG26" s="255">
        <v>65</v>
      </c>
      <c r="KH26" s="255">
        <v>65</v>
      </c>
      <c r="KI26" s="255">
        <v>65</v>
      </c>
      <c r="KJ26" s="255">
        <v>65</v>
      </c>
      <c r="KK26" s="255">
        <v>65</v>
      </c>
      <c r="KL26" s="255">
        <v>65</v>
      </c>
      <c r="KM26" s="255">
        <v>65</v>
      </c>
      <c r="KN26" s="255">
        <v>65</v>
      </c>
      <c r="KO26" s="255">
        <v>65</v>
      </c>
      <c r="KP26" s="255">
        <v>65</v>
      </c>
      <c r="KQ26" s="255">
        <v>65</v>
      </c>
      <c r="KR26" s="255">
        <v>65</v>
      </c>
      <c r="KS26" s="255">
        <v>65</v>
      </c>
      <c r="KT26" s="255">
        <v>65</v>
      </c>
      <c r="KU26" s="255">
        <v>65</v>
      </c>
      <c r="KV26" s="255">
        <v>65</v>
      </c>
      <c r="KW26" s="255">
        <v>65</v>
      </c>
      <c r="KX26" s="255">
        <v>65</v>
      </c>
      <c r="KY26" s="255">
        <v>65</v>
      </c>
      <c r="KZ26" s="255">
        <v>65</v>
      </c>
      <c r="LA26" s="255">
        <v>65</v>
      </c>
      <c r="LB26" s="255">
        <v>65</v>
      </c>
      <c r="LC26" s="255">
        <v>65</v>
      </c>
      <c r="LD26" s="255">
        <v>65</v>
      </c>
      <c r="LE26" s="255">
        <v>65</v>
      </c>
      <c r="LF26" s="255">
        <v>65</v>
      </c>
      <c r="LG26" s="255">
        <v>65</v>
      </c>
      <c r="LH26" s="255">
        <v>65</v>
      </c>
      <c r="LI26" s="255">
        <v>65</v>
      </c>
      <c r="LJ26" s="255">
        <v>65</v>
      </c>
      <c r="LK26" s="255">
        <v>65</v>
      </c>
      <c r="LL26" s="255">
        <v>65</v>
      </c>
      <c r="LM26" s="255">
        <v>65</v>
      </c>
      <c r="LN26" s="255">
        <v>65</v>
      </c>
      <c r="LO26" s="255">
        <v>65</v>
      </c>
      <c r="LP26" s="255">
        <v>65</v>
      </c>
      <c r="LQ26" s="255">
        <v>65</v>
      </c>
      <c r="LR26" s="255">
        <v>65</v>
      </c>
      <c r="LS26" s="255">
        <v>65</v>
      </c>
      <c r="LT26" s="255">
        <v>65</v>
      </c>
      <c r="LU26" s="255">
        <v>65</v>
      </c>
      <c r="LV26" s="255">
        <v>65</v>
      </c>
      <c r="LW26" s="255">
        <v>65</v>
      </c>
      <c r="LX26" s="255">
        <v>65</v>
      </c>
      <c r="LY26" s="255">
        <v>65</v>
      </c>
      <c r="LZ26" s="255">
        <v>65</v>
      </c>
      <c r="MA26" s="255">
        <v>65</v>
      </c>
      <c r="MB26" s="255">
        <v>65</v>
      </c>
      <c r="MC26" s="255">
        <v>65</v>
      </c>
      <c r="MD26" s="255">
        <v>65</v>
      </c>
      <c r="ME26" s="255">
        <v>65</v>
      </c>
      <c r="MF26" s="255">
        <v>65</v>
      </c>
      <c r="MG26" s="255">
        <v>65</v>
      </c>
      <c r="MH26" s="255">
        <v>65</v>
      </c>
      <c r="MI26" s="255">
        <v>65</v>
      </c>
      <c r="MJ26" s="255">
        <v>65</v>
      </c>
      <c r="MK26" s="255">
        <v>65</v>
      </c>
      <c r="ML26" s="255">
        <v>65</v>
      </c>
      <c r="MM26" s="255">
        <v>65</v>
      </c>
      <c r="MN26" s="255">
        <v>65</v>
      </c>
      <c r="MO26" s="255">
        <v>65</v>
      </c>
      <c r="MP26" s="255">
        <v>65</v>
      </c>
      <c r="MQ26" s="255">
        <v>65</v>
      </c>
      <c r="MR26" s="255">
        <v>65</v>
      </c>
      <c r="MS26" s="255">
        <v>65</v>
      </c>
      <c r="MT26" s="255">
        <v>65</v>
      </c>
      <c r="MU26" s="255">
        <v>65</v>
      </c>
      <c r="MV26" s="255">
        <v>65</v>
      </c>
      <c r="MW26" s="255">
        <v>65</v>
      </c>
      <c r="MX26" s="255">
        <v>65</v>
      </c>
      <c r="MY26" s="255">
        <v>65</v>
      </c>
      <c r="MZ26" s="255">
        <v>65</v>
      </c>
      <c r="NA26" s="255">
        <v>65</v>
      </c>
      <c r="NB26" s="255">
        <v>65</v>
      </c>
      <c r="NC26" s="255">
        <v>65</v>
      </c>
      <c r="ND26" s="255">
        <v>65</v>
      </c>
    </row>
    <row r="27" spans="1:368" s="255" customFormat="1" ht="14.4" x14ac:dyDescent="0.3">
      <c r="A27" s="254"/>
      <c r="B27" s="257"/>
      <c r="E27" s="255" t="s">
        <v>523</v>
      </c>
      <c r="F27" s="255" t="s">
        <v>407</v>
      </c>
      <c r="G27" s="255" t="s">
        <v>28</v>
      </c>
      <c r="H27" s="255" t="s">
        <v>1163</v>
      </c>
      <c r="K27" s="255">
        <f t="shared" si="6"/>
        <v>26</v>
      </c>
      <c r="M27" s="255">
        <f>M21</f>
        <v>0</v>
      </c>
      <c r="N27" s="255">
        <f t="shared" ref="N27:BY27" si="22">N21</f>
        <v>0</v>
      </c>
      <c r="O27" s="255">
        <f t="shared" si="22"/>
        <v>0</v>
      </c>
      <c r="P27" s="255">
        <f t="shared" si="22"/>
        <v>0</v>
      </c>
      <c r="Q27" s="255">
        <f t="shared" si="22"/>
        <v>0</v>
      </c>
      <c r="R27" s="255">
        <f t="shared" si="22"/>
        <v>0</v>
      </c>
      <c r="S27" s="255">
        <f t="shared" si="22"/>
        <v>0</v>
      </c>
      <c r="T27" s="255">
        <f t="shared" si="22"/>
        <v>0</v>
      </c>
      <c r="U27" s="255">
        <f t="shared" si="22"/>
        <v>0</v>
      </c>
      <c r="V27" s="255">
        <f t="shared" si="22"/>
        <v>0</v>
      </c>
      <c r="W27" s="255">
        <f t="shared" si="22"/>
        <v>0</v>
      </c>
      <c r="X27" s="255">
        <f t="shared" si="22"/>
        <v>0</v>
      </c>
      <c r="Y27" s="255">
        <f t="shared" si="22"/>
        <v>0</v>
      </c>
      <c r="Z27" s="255">
        <f t="shared" si="22"/>
        <v>0</v>
      </c>
      <c r="AA27" s="255">
        <f t="shared" si="22"/>
        <v>0</v>
      </c>
      <c r="AB27" s="255">
        <f t="shared" si="22"/>
        <v>0</v>
      </c>
      <c r="AC27" s="255">
        <f t="shared" si="22"/>
        <v>0</v>
      </c>
      <c r="AD27" s="255">
        <f t="shared" si="22"/>
        <v>0</v>
      </c>
      <c r="AE27" s="255">
        <f t="shared" si="22"/>
        <v>0</v>
      </c>
      <c r="AF27" s="255">
        <f t="shared" si="22"/>
        <v>0</v>
      </c>
      <c r="AG27" s="255">
        <f t="shared" si="22"/>
        <v>0</v>
      </c>
      <c r="AH27" s="255">
        <f t="shared" si="22"/>
        <v>0</v>
      </c>
      <c r="AI27" s="255">
        <f t="shared" si="22"/>
        <v>0</v>
      </c>
      <c r="AJ27" s="255">
        <f t="shared" si="22"/>
        <v>0</v>
      </c>
      <c r="AK27" s="255">
        <f t="shared" si="22"/>
        <v>0</v>
      </c>
      <c r="AL27" s="255">
        <f t="shared" si="22"/>
        <v>0</v>
      </c>
      <c r="AM27" s="255">
        <f t="shared" si="22"/>
        <v>0</v>
      </c>
      <c r="AN27" s="255">
        <f t="shared" si="22"/>
        <v>0</v>
      </c>
      <c r="AO27" s="255">
        <f t="shared" si="22"/>
        <v>0</v>
      </c>
      <c r="AP27" s="255">
        <f t="shared" si="22"/>
        <v>0</v>
      </c>
      <c r="AQ27" s="255">
        <f t="shared" si="22"/>
        <v>0</v>
      </c>
      <c r="AR27" s="255">
        <f t="shared" si="22"/>
        <v>0</v>
      </c>
      <c r="AS27" s="255">
        <f t="shared" si="22"/>
        <v>0</v>
      </c>
      <c r="AT27" s="255">
        <f t="shared" si="22"/>
        <v>0</v>
      </c>
      <c r="AU27" s="255">
        <f t="shared" si="22"/>
        <v>0</v>
      </c>
      <c r="AV27" s="255">
        <f t="shared" si="22"/>
        <v>0</v>
      </c>
      <c r="AW27" s="255">
        <f t="shared" si="22"/>
        <v>0</v>
      </c>
      <c r="AX27" s="255">
        <f t="shared" si="22"/>
        <v>0</v>
      </c>
      <c r="AY27" s="255">
        <f t="shared" si="22"/>
        <v>0</v>
      </c>
      <c r="AZ27" s="255">
        <f t="shared" si="22"/>
        <v>0</v>
      </c>
      <c r="BA27" s="255">
        <f t="shared" si="22"/>
        <v>0</v>
      </c>
      <c r="BB27" s="255">
        <f t="shared" si="22"/>
        <v>0</v>
      </c>
      <c r="BC27" s="255">
        <f t="shared" si="22"/>
        <v>0</v>
      </c>
      <c r="BD27" s="255">
        <f t="shared" si="22"/>
        <v>0</v>
      </c>
      <c r="BE27" s="255">
        <f t="shared" si="22"/>
        <v>0</v>
      </c>
      <c r="BF27" s="255">
        <f t="shared" si="22"/>
        <v>0</v>
      </c>
      <c r="BG27" s="255">
        <f t="shared" si="22"/>
        <v>0</v>
      </c>
      <c r="BH27" s="255">
        <f t="shared" si="22"/>
        <v>0</v>
      </c>
      <c r="BI27" s="255">
        <f t="shared" si="22"/>
        <v>0</v>
      </c>
      <c r="BJ27" s="255">
        <f t="shared" si="22"/>
        <v>0</v>
      </c>
      <c r="BK27" s="255">
        <f t="shared" si="22"/>
        <v>0</v>
      </c>
      <c r="BL27" s="255">
        <f t="shared" si="22"/>
        <v>0</v>
      </c>
      <c r="BM27" s="255">
        <f t="shared" si="22"/>
        <v>0</v>
      </c>
      <c r="BN27" s="255">
        <f t="shared" si="22"/>
        <v>0</v>
      </c>
      <c r="BO27" s="255">
        <f t="shared" si="22"/>
        <v>0</v>
      </c>
      <c r="BP27" s="255">
        <f t="shared" si="22"/>
        <v>0</v>
      </c>
      <c r="BQ27" s="255">
        <f t="shared" si="22"/>
        <v>0</v>
      </c>
      <c r="BR27" s="255">
        <f t="shared" si="22"/>
        <v>0</v>
      </c>
      <c r="BS27" s="255">
        <f t="shared" si="22"/>
        <v>0</v>
      </c>
      <c r="BT27" s="255">
        <f t="shared" si="22"/>
        <v>0</v>
      </c>
      <c r="BU27" s="255">
        <f t="shared" si="22"/>
        <v>0</v>
      </c>
      <c r="BV27" s="255">
        <f t="shared" si="22"/>
        <v>0</v>
      </c>
      <c r="BW27" s="255">
        <f t="shared" si="22"/>
        <v>0</v>
      </c>
      <c r="BX27" s="255">
        <f t="shared" si="22"/>
        <v>0</v>
      </c>
      <c r="BY27" s="255">
        <f t="shared" si="22"/>
        <v>0</v>
      </c>
      <c r="BZ27" s="255">
        <f t="shared" ref="BZ27:EK27" si="23">BZ21</f>
        <v>0</v>
      </c>
      <c r="CA27" s="255">
        <f t="shared" si="23"/>
        <v>0</v>
      </c>
      <c r="CB27" s="255">
        <f t="shared" si="23"/>
        <v>0</v>
      </c>
      <c r="CC27" s="255">
        <f t="shared" si="23"/>
        <v>0</v>
      </c>
      <c r="CD27" s="255">
        <f t="shared" si="23"/>
        <v>0</v>
      </c>
      <c r="CE27" s="255">
        <f t="shared" si="23"/>
        <v>0</v>
      </c>
      <c r="CF27" s="255">
        <f t="shared" si="23"/>
        <v>0</v>
      </c>
      <c r="CG27" s="255">
        <f t="shared" si="23"/>
        <v>0</v>
      </c>
      <c r="CH27" s="255">
        <f t="shared" si="23"/>
        <v>0</v>
      </c>
      <c r="CI27" s="255">
        <f t="shared" si="23"/>
        <v>0</v>
      </c>
      <c r="CJ27" s="255">
        <f t="shared" si="23"/>
        <v>0</v>
      </c>
      <c r="CK27" s="255">
        <f t="shared" si="23"/>
        <v>0</v>
      </c>
      <c r="CL27" s="255">
        <f t="shared" si="23"/>
        <v>0</v>
      </c>
      <c r="CM27" s="255">
        <f t="shared" si="23"/>
        <v>0</v>
      </c>
      <c r="CN27" s="255">
        <f t="shared" si="23"/>
        <v>0</v>
      </c>
      <c r="CO27" s="255">
        <f t="shared" si="23"/>
        <v>0</v>
      </c>
      <c r="CP27" s="255">
        <f t="shared" si="23"/>
        <v>0</v>
      </c>
      <c r="CQ27" s="255">
        <f t="shared" si="23"/>
        <v>0</v>
      </c>
      <c r="CR27" s="255">
        <f t="shared" si="23"/>
        <v>0</v>
      </c>
      <c r="CS27" s="255">
        <f t="shared" si="23"/>
        <v>0</v>
      </c>
      <c r="CT27" s="255">
        <f t="shared" si="23"/>
        <v>0</v>
      </c>
      <c r="CU27" s="255">
        <f t="shared" si="23"/>
        <v>0</v>
      </c>
      <c r="CV27" s="255">
        <f t="shared" si="23"/>
        <v>0</v>
      </c>
      <c r="CW27" s="255">
        <f t="shared" si="23"/>
        <v>0</v>
      </c>
      <c r="CX27" s="255">
        <f t="shared" si="23"/>
        <v>0</v>
      </c>
      <c r="CY27" s="255">
        <f t="shared" si="23"/>
        <v>0</v>
      </c>
      <c r="CZ27" s="255">
        <f t="shared" si="23"/>
        <v>0</v>
      </c>
      <c r="DA27" s="255">
        <f t="shared" si="23"/>
        <v>0</v>
      </c>
      <c r="DB27" s="255">
        <f t="shared" si="23"/>
        <v>0</v>
      </c>
      <c r="DC27" s="255">
        <f t="shared" si="23"/>
        <v>0</v>
      </c>
      <c r="DD27" s="255">
        <f t="shared" si="23"/>
        <v>0</v>
      </c>
      <c r="DE27" s="255">
        <f t="shared" si="23"/>
        <v>0</v>
      </c>
      <c r="DF27" s="255">
        <f t="shared" si="23"/>
        <v>0</v>
      </c>
      <c r="DG27" s="255">
        <f t="shared" si="23"/>
        <v>0</v>
      </c>
      <c r="DH27" s="255">
        <f t="shared" si="23"/>
        <v>0</v>
      </c>
      <c r="DI27" s="255">
        <f t="shared" si="23"/>
        <v>0</v>
      </c>
      <c r="DJ27" s="255">
        <f t="shared" si="23"/>
        <v>0</v>
      </c>
      <c r="DK27" s="255">
        <f t="shared" si="23"/>
        <v>0</v>
      </c>
      <c r="DL27" s="255">
        <f t="shared" si="23"/>
        <v>0</v>
      </c>
      <c r="DM27" s="255">
        <f t="shared" si="23"/>
        <v>0</v>
      </c>
      <c r="DN27" s="255">
        <f t="shared" si="23"/>
        <v>0</v>
      </c>
      <c r="DO27" s="255">
        <f t="shared" si="23"/>
        <v>0</v>
      </c>
      <c r="DP27" s="255">
        <f t="shared" si="23"/>
        <v>0</v>
      </c>
      <c r="DQ27" s="255">
        <f t="shared" si="23"/>
        <v>0</v>
      </c>
      <c r="DR27" s="255">
        <f t="shared" si="23"/>
        <v>0</v>
      </c>
      <c r="DS27" s="255">
        <f t="shared" si="23"/>
        <v>0</v>
      </c>
      <c r="DT27" s="255">
        <f t="shared" si="23"/>
        <v>0</v>
      </c>
      <c r="DU27" s="255">
        <f t="shared" si="23"/>
        <v>0</v>
      </c>
      <c r="DV27" s="255">
        <f t="shared" si="23"/>
        <v>0</v>
      </c>
      <c r="DW27" s="255">
        <f t="shared" si="23"/>
        <v>0</v>
      </c>
      <c r="DX27" s="255">
        <f t="shared" si="23"/>
        <v>0</v>
      </c>
      <c r="DY27" s="255">
        <f t="shared" si="23"/>
        <v>0</v>
      </c>
      <c r="DZ27" s="255">
        <f t="shared" si="23"/>
        <v>0</v>
      </c>
      <c r="EA27" s="255">
        <f t="shared" si="23"/>
        <v>0</v>
      </c>
      <c r="EB27" s="255">
        <f t="shared" si="23"/>
        <v>0</v>
      </c>
      <c r="EC27" s="255">
        <f t="shared" si="23"/>
        <v>0</v>
      </c>
      <c r="ED27" s="255">
        <f t="shared" si="23"/>
        <v>0</v>
      </c>
      <c r="EE27" s="255">
        <f t="shared" si="23"/>
        <v>0</v>
      </c>
      <c r="EF27" s="255">
        <f t="shared" si="23"/>
        <v>0</v>
      </c>
      <c r="EG27" s="255">
        <f t="shared" si="23"/>
        <v>0</v>
      </c>
      <c r="EH27" s="255">
        <f t="shared" si="23"/>
        <v>0</v>
      </c>
      <c r="EI27" s="255">
        <f t="shared" si="23"/>
        <v>0</v>
      </c>
      <c r="EJ27" s="255">
        <f t="shared" si="23"/>
        <v>0</v>
      </c>
      <c r="EK27" s="255">
        <f t="shared" si="23"/>
        <v>0</v>
      </c>
      <c r="EL27" s="255">
        <f t="shared" ref="EL27:GW27" si="24">EL21</f>
        <v>0</v>
      </c>
      <c r="EM27" s="255">
        <f t="shared" si="24"/>
        <v>0</v>
      </c>
      <c r="EN27" s="255">
        <f t="shared" si="24"/>
        <v>0</v>
      </c>
      <c r="EO27" s="255">
        <f t="shared" si="24"/>
        <v>0</v>
      </c>
      <c r="EP27" s="255">
        <f t="shared" si="24"/>
        <v>0</v>
      </c>
      <c r="EQ27" s="255">
        <f t="shared" si="24"/>
        <v>0</v>
      </c>
      <c r="ER27" s="255">
        <f t="shared" si="24"/>
        <v>0</v>
      </c>
      <c r="ES27" s="255">
        <f t="shared" si="24"/>
        <v>0</v>
      </c>
      <c r="ET27" s="255">
        <f t="shared" si="24"/>
        <v>0</v>
      </c>
      <c r="EU27" s="255">
        <f t="shared" si="24"/>
        <v>0</v>
      </c>
      <c r="EV27" s="255">
        <f t="shared" si="24"/>
        <v>0</v>
      </c>
      <c r="EW27" s="255">
        <f t="shared" si="24"/>
        <v>0</v>
      </c>
      <c r="EX27" s="255">
        <f t="shared" si="24"/>
        <v>0</v>
      </c>
      <c r="EY27" s="255">
        <f t="shared" si="24"/>
        <v>0</v>
      </c>
      <c r="EZ27" s="255">
        <f t="shared" si="24"/>
        <v>0</v>
      </c>
      <c r="FA27" s="255">
        <f t="shared" si="24"/>
        <v>0</v>
      </c>
      <c r="FB27" s="255">
        <f t="shared" si="24"/>
        <v>0</v>
      </c>
      <c r="FC27" s="255">
        <f t="shared" si="24"/>
        <v>0</v>
      </c>
      <c r="FD27" s="255">
        <f t="shared" si="24"/>
        <v>0</v>
      </c>
      <c r="FE27" s="255">
        <f t="shared" si="24"/>
        <v>0</v>
      </c>
      <c r="FF27" s="255">
        <f t="shared" si="24"/>
        <v>0</v>
      </c>
      <c r="FG27" s="255">
        <f t="shared" si="24"/>
        <v>0</v>
      </c>
      <c r="FH27" s="255">
        <f t="shared" si="24"/>
        <v>0</v>
      </c>
      <c r="FI27" s="255">
        <f t="shared" si="24"/>
        <v>0</v>
      </c>
      <c r="FJ27" s="255">
        <f t="shared" si="24"/>
        <v>0</v>
      </c>
      <c r="FK27" s="255">
        <f t="shared" si="24"/>
        <v>0</v>
      </c>
      <c r="FL27" s="255">
        <f t="shared" si="24"/>
        <v>0</v>
      </c>
      <c r="FM27" s="255">
        <f t="shared" si="24"/>
        <v>0</v>
      </c>
      <c r="FN27" s="255">
        <f t="shared" si="24"/>
        <v>0</v>
      </c>
      <c r="FO27" s="255">
        <f t="shared" si="24"/>
        <v>0</v>
      </c>
      <c r="FP27" s="255">
        <f t="shared" si="24"/>
        <v>0</v>
      </c>
      <c r="FQ27" s="255">
        <f t="shared" si="24"/>
        <v>0</v>
      </c>
      <c r="FR27" s="255">
        <f t="shared" si="24"/>
        <v>0</v>
      </c>
      <c r="FS27" s="255">
        <f t="shared" si="24"/>
        <v>0</v>
      </c>
      <c r="FT27" s="255">
        <f t="shared" si="24"/>
        <v>0</v>
      </c>
      <c r="FU27" s="255">
        <f t="shared" si="24"/>
        <v>0</v>
      </c>
      <c r="FV27" s="255">
        <f t="shared" si="24"/>
        <v>0</v>
      </c>
      <c r="FW27" s="255">
        <f t="shared" si="24"/>
        <v>0</v>
      </c>
      <c r="FX27" s="255">
        <f t="shared" si="24"/>
        <v>0</v>
      </c>
      <c r="FY27" s="255">
        <f t="shared" si="24"/>
        <v>0</v>
      </c>
      <c r="FZ27" s="255">
        <f t="shared" si="24"/>
        <v>0</v>
      </c>
      <c r="GA27" s="255">
        <f t="shared" si="24"/>
        <v>0</v>
      </c>
      <c r="GB27" s="255">
        <f t="shared" si="24"/>
        <v>0</v>
      </c>
      <c r="GC27" s="255">
        <f t="shared" si="24"/>
        <v>0</v>
      </c>
      <c r="GD27" s="255">
        <f t="shared" si="24"/>
        <v>0</v>
      </c>
      <c r="GE27" s="255">
        <f t="shared" si="24"/>
        <v>0</v>
      </c>
      <c r="GF27" s="255">
        <f t="shared" si="24"/>
        <v>0</v>
      </c>
      <c r="GG27" s="255">
        <f t="shared" si="24"/>
        <v>0</v>
      </c>
      <c r="GH27" s="255">
        <f t="shared" si="24"/>
        <v>0</v>
      </c>
      <c r="GI27" s="255">
        <f t="shared" si="24"/>
        <v>0</v>
      </c>
      <c r="GJ27" s="255">
        <f t="shared" si="24"/>
        <v>0</v>
      </c>
      <c r="GK27" s="255">
        <f t="shared" si="24"/>
        <v>0</v>
      </c>
      <c r="GL27" s="255">
        <f t="shared" si="24"/>
        <v>0</v>
      </c>
      <c r="GM27" s="255">
        <f t="shared" si="24"/>
        <v>0</v>
      </c>
      <c r="GN27" s="255">
        <f t="shared" si="24"/>
        <v>0</v>
      </c>
      <c r="GO27" s="255">
        <f t="shared" si="24"/>
        <v>0</v>
      </c>
      <c r="GP27" s="255">
        <f t="shared" si="24"/>
        <v>0</v>
      </c>
      <c r="GQ27" s="255">
        <f t="shared" si="24"/>
        <v>0</v>
      </c>
      <c r="GR27" s="255">
        <f t="shared" si="24"/>
        <v>0</v>
      </c>
      <c r="GS27" s="255">
        <f t="shared" si="24"/>
        <v>0</v>
      </c>
      <c r="GT27" s="255">
        <f t="shared" si="24"/>
        <v>0</v>
      </c>
      <c r="GU27" s="255">
        <f t="shared" si="24"/>
        <v>0</v>
      </c>
      <c r="GV27" s="255">
        <f t="shared" si="24"/>
        <v>0</v>
      </c>
      <c r="GW27" s="255">
        <f t="shared" si="24"/>
        <v>0</v>
      </c>
      <c r="GX27" s="255">
        <f t="shared" ref="GX27:JI27" si="25">GX21</f>
        <v>0</v>
      </c>
      <c r="GY27" s="255">
        <f t="shared" si="25"/>
        <v>0</v>
      </c>
      <c r="GZ27" s="255">
        <f t="shared" si="25"/>
        <v>0</v>
      </c>
      <c r="HA27" s="255">
        <f t="shared" si="25"/>
        <v>0</v>
      </c>
      <c r="HB27" s="255">
        <f t="shared" si="25"/>
        <v>0</v>
      </c>
      <c r="HC27" s="255">
        <f t="shared" si="25"/>
        <v>0</v>
      </c>
      <c r="HD27" s="255">
        <f t="shared" si="25"/>
        <v>0</v>
      </c>
      <c r="HE27" s="255">
        <f t="shared" si="25"/>
        <v>0</v>
      </c>
      <c r="HF27" s="255">
        <f t="shared" si="25"/>
        <v>0</v>
      </c>
      <c r="HG27" s="255">
        <f t="shared" si="25"/>
        <v>0</v>
      </c>
      <c r="HH27" s="255">
        <f t="shared" si="25"/>
        <v>0</v>
      </c>
      <c r="HI27" s="255">
        <f t="shared" si="25"/>
        <v>0</v>
      </c>
      <c r="HJ27" s="255">
        <f t="shared" si="25"/>
        <v>0</v>
      </c>
      <c r="HK27" s="255">
        <f t="shared" si="25"/>
        <v>0</v>
      </c>
      <c r="HL27" s="255">
        <f t="shared" si="25"/>
        <v>0</v>
      </c>
      <c r="HM27" s="255">
        <f t="shared" si="25"/>
        <v>0</v>
      </c>
      <c r="HN27" s="255">
        <f t="shared" si="25"/>
        <v>0</v>
      </c>
      <c r="HO27" s="255">
        <f t="shared" si="25"/>
        <v>0</v>
      </c>
      <c r="HP27" s="255">
        <f t="shared" si="25"/>
        <v>0</v>
      </c>
      <c r="HQ27" s="255">
        <f t="shared" si="25"/>
        <v>0</v>
      </c>
      <c r="HR27" s="255">
        <f t="shared" si="25"/>
        <v>0</v>
      </c>
      <c r="HS27" s="255">
        <f t="shared" si="25"/>
        <v>0</v>
      </c>
      <c r="HT27" s="255">
        <f t="shared" si="25"/>
        <v>0</v>
      </c>
      <c r="HU27" s="255">
        <f t="shared" si="25"/>
        <v>0</v>
      </c>
      <c r="HV27" s="255">
        <f t="shared" si="25"/>
        <v>0</v>
      </c>
      <c r="HW27" s="255">
        <f t="shared" si="25"/>
        <v>0</v>
      </c>
      <c r="HX27" s="255">
        <f t="shared" si="25"/>
        <v>0</v>
      </c>
      <c r="HY27" s="255">
        <f t="shared" si="25"/>
        <v>0</v>
      </c>
      <c r="HZ27" s="255">
        <f t="shared" si="25"/>
        <v>0</v>
      </c>
      <c r="IA27" s="255">
        <f t="shared" si="25"/>
        <v>0</v>
      </c>
      <c r="IB27" s="255">
        <f t="shared" si="25"/>
        <v>0</v>
      </c>
      <c r="IC27" s="255">
        <f t="shared" si="25"/>
        <v>0</v>
      </c>
      <c r="ID27" s="255">
        <f t="shared" si="25"/>
        <v>0</v>
      </c>
      <c r="IE27" s="255">
        <f t="shared" si="25"/>
        <v>0</v>
      </c>
      <c r="IF27" s="255">
        <f t="shared" si="25"/>
        <v>0</v>
      </c>
      <c r="IG27" s="255">
        <f t="shared" si="25"/>
        <v>0</v>
      </c>
      <c r="IH27" s="255">
        <f t="shared" si="25"/>
        <v>0</v>
      </c>
      <c r="II27" s="255">
        <f t="shared" si="25"/>
        <v>0</v>
      </c>
      <c r="IJ27" s="255">
        <f t="shared" si="25"/>
        <v>0</v>
      </c>
      <c r="IK27" s="255">
        <f t="shared" si="25"/>
        <v>0</v>
      </c>
      <c r="IL27" s="255">
        <f t="shared" si="25"/>
        <v>0</v>
      </c>
      <c r="IM27" s="255">
        <f t="shared" si="25"/>
        <v>0</v>
      </c>
      <c r="IN27" s="255">
        <f t="shared" si="25"/>
        <v>0</v>
      </c>
      <c r="IO27" s="255">
        <f t="shared" si="25"/>
        <v>0</v>
      </c>
      <c r="IP27" s="255">
        <f t="shared" si="25"/>
        <v>0</v>
      </c>
      <c r="IQ27" s="255">
        <f t="shared" si="25"/>
        <v>0</v>
      </c>
      <c r="IR27" s="255">
        <f t="shared" si="25"/>
        <v>0</v>
      </c>
      <c r="IS27" s="255">
        <f t="shared" si="25"/>
        <v>0</v>
      </c>
      <c r="IT27" s="255">
        <f t="shared" si="25"/>
        <v>0</v>
      </c>
      <c r="IU27" s="255">
        <f t="shared" si="25"/>
        <v>0</v>
      </c>
      <c r="IV27" s="255">
        <f t="shared" si="25"/>
        <v>0</v>
      </c>
      <c r="IW27" s="255">
        <f t="shared" si="25"/>
        <v>0</v>
      </c>
      <c r="IX27" s="255">
        <f t="shared" si="25"/>
        <v>0</v>
      </c>
      <c r="IY27" s="255">
        <f t="shared" si="25"/>
        <v>0</v>
      </c>
      <c r="IZ27" s="255">
        <f t="shared" si="25"/>
        <v>0</v>
      </c>
      <c r="JA27" s="255">
        <f t="shared" si="25"/>
        <v>0</v>
      </c>
      <c r="JB27" s="255">
        <f t="shared" si="25"/>
        <v>0</v>
      </c>
      <c r="JC27" s="255">
        <f t="shared" si="25"/>
        <v>0</v>
      </c>
      <c r="JD27" s="255">
        <f t="shared" si="25"/>
        <v>0</v>
      </c>
      <c r="JE27" s="255">
        <f t="shared" si="25"/>
        <v>0</v>
      </c>
      <c r="JF27" s="255">
        <f t="shared" si="25"/>
        <v>0</v>
      </c>
      <c r="JG27" s="255">
        <f t="shared" si="25"/>
        <v>0</v>
      </c>
      <c r="JH27" s="255">
        <f t="shared" si="25"/>
        <v>0</v>
      </c>
      <c r="JI27" s="255">
        <f t="shared" si="25"/>
        <v>0</v>
      </c>
      <c r="JJ27" s="255">
        <f t="shared" ref="JJ27:LU27" si="26">JJ21</f>
        <v>0</v>
      </c>
      <c r="JK27" s="255">
        <f t="shared" si="26"/>
        <v>0</v>
      </c>
      <c r="JL27" s="255">
        <f t="shared" si="26"/>
        <v>0</v>
      </c>
      <c r="JM27" s="255">
        <f t="shared" si="26"/>
        <v>0</v>
      </c>
      <c r="JN27" s="255">
        <f t="shared" si="26"/>
        <v>0</v>
      </c>
      <c r="JO27" s="255">
        <f t="shared" si="26"/>
        <v>0</v>
      </c>
      <c r="JP27" s="255">
        <f t="shared" si="26"/>
        <v>0</v>
      </c>
      <c r="JQ27" s="255">
        <f t="shared" si="26"/>
        <v>0</v>
      </c>
      <c r="JR27" s="255">
        <f t="shared" si="26"/>
        <v>0</v>
      </c>
      <c r="JS27" s="255">
        <f t="shared" si="26"/>
        <v>0</v>
      </c>
      <c r="JT27" s="255">
        <f t="shared" si="26"/>
        <v>0</v>
      </c>
      <c r="JU27" s="255">
        <f t="shared" si="26"/>
        <v>0</v>
      </c>
      <c r="JV27" s="255">
        <f t="shared" si="26"/>
        <v>0</v>
      </c>
      <c r="JW27" s="255">
        <f t="shared" si="26"/>
        <v>0</v>
      </c>
      <c r="JX27" s="255">
        <f t="shared" si="26"/>
        <v>0</v>
      </c>
      <c r="JY27" s="255">
        <f t="shared" si="26"/>
        <v>0</v>
      </c>
      <c r="JZ27" s="255">
        <f t="shared" si="26"/>
        <v>0</v>
      </c>
      <c r="KA27" s="255">
        <f t="shared" si="26"/>
        <v>0</v>
      </c>
      <c r="KB27" s="255">
        <f t="shared" si="26"/>
        <v>0</v>
      </c>
      <c r="KC27" s="255">
        <f t="shared" si="26"/>
        <v>0</v>
      </c>
      <c r="KD27" s="255">
        <f t="shared" si="26"/>
        <v>0</v>
      </c>
      <c r="KE27" s="255">
        <f t="shared" si="26"/>
        <v>0</v>
      </c>
      <c r="KF27" s="255">
        <f t="shared" si="26"/>
        <v>0</v>
      </c>
      <c r="KG27" s="255">
        <f t="shared" si="26"/>
        <v>0</v>
      </c>
      <c r="KH27" s="255">
        <f t="shared" si="26"/>
        <v>0</v>
      </c>
      <c r="KI27" s="255">
        <f t="shared" si="26"/>
        <v>0</v>
      </c>
      <c r="KJ27" s="255">
        <f t="shared" si="26"/>
        <v>0</v>
      </c>
      <c r="KK27" s="255">
        <f t="shared" si="26"/>
        <v>0</v>
      </c>
      <c r="KL27" s="255">
        <f t="shared" si="26"/>
        <v>0</v>
      </c>
      <c r="KM27" s="255">
        <f t="shared" si="26"/>
        <v>0</v>
      </c>
      <c r="KN27" s="255">
        <f t="shared" si="26"/>
        <v>0</v>
      </c>
      <c r="KO27" s="255">
        <f t="shared" si="26"/>
        <v>0</v>
      </c>
      <c r="KP27" s="255">
        <f t="shared" si="26"/>
        <v>0</v>
      </c>
      <c r="KQ27" s="255">
        <f t="shared" si="26"/>
        <v>0</v>
      </c>
      <c r="KR27" s="255">
        <f t="shared" si="26"/>
        <v>0</v>
      </c>
      <c r="KS27" s="255">
        <f t="shared" si="26"/>
        <v>0</v>
      </c>
      <c r="KT27" s="255">
        <f t="shared" si="26"/>
        <v>0</v>
      </c>
      <c r="KU27" s="255">
        <f t="shared" si="26"/>
        <v>0</v>
      </c>
      <c r="KV27" s="255">
        <f t="shared" si="26"/>
        <v>0</v>
      </c>
      <c r="KW27" s="255">
        <f t="shared" si="26"/>
        <v>0</v>
      </c>
      <c r="KX27" s="255">
        <f t="shared" si="26"/>
        <v>0</v>
      </c>
      <c r="KY27" s="255">
        <f t="shared" si="26"/>
        <v>0</v>
      </c>
      <c r="KZ27" s="255">
        <f t="shared" si="26"/>
        <v>0</v>
      </c>
      <c r="LA27" s="255">
        <f t="shared" si="26"/>
        <v>0</v>
      </c>
      <c r="LB27" s="255">
        <f t="shared" si="26"/>
        <v>0</v>
      </c>
      <c r="LC27" s="255">
        <f t="shared" si="26"/>
        <v>0</v>
      </c>
      <c r="LD27" s="255">
        <f t="shared" si="26"/>
        <v>0</v>
      </c>
      <c r="LE27" s="255">
        <f t="shared" si="26"/>
        <v>0</v>
      </c>
      <c r="LF27" s="255">
        <f t="shared" si="26"/>
        <v>0</v>
      </c>
      <c r="LG27" s="255">
        <f t="shared" si="26"/>
        <v>0</v>
      </c>
      <c r="LH27" s="255">
        <f t="shared" si="26"/>
        <v>0</v>
      </c>
      <c r="LI27" s="255">
        <f t="shared" si="26"/>
        <v>0</v>
      </c>
      <c r="LJ27" s="255">
        <f t="shared" si="26"/>
        <v>0</v>
      </c>
      <c r="LK27" s="255">
        <f t="shared" si="26"/>
        <v>0</v>
      </c>
      <c r="LL27" s="255">
        <f t="shared" si="26"/>
        <v>0</v>
      </c>
      <c r="LM27" s="255">
        <f t="shared" si="26"/>
        <v>0</v>
      </c>
      <c r="LN27" s="255">
        <f t="shared" si="26"/>
        <v>0</v>
      </c>
      <c r="LO27" s="255">
        <f t="shared" si="26"/>
        <v>0</v>
      </c>
      <c r="LP27" s="255">
        <f t="shared" si="26"/>
        <v>0</v>
      </c>
      <c r="LQ27" s="255">
        <f t="shared" si="26"/>
        <v>0</v>
      </c>
      <c r="LR27" s="255">
        <f t="shared" si="26"/>
        <v>0</v>
      </c>
      <c r="LS27" s="255">
        <f t="shared" si="26"/>
        <v>0</v>
      </c>
      <c r="LT27" s="255">
        <f t="shared" si="26"/>
        <v>0</v>
      </c>
      <c r="LU27" s="255">
        <f t="shared" si="26"/>
        <v>0</v>
      </c>
      <c r="LV27" s="255">
        <f t="shared" ref="LV27:NC27" si="27">LV21</f>
        <v>0</v>
      </c>
      <c r="LW27" s="255">
        <f t="shared" si="27"/>
        <v>0</v>
      </c>
      <c r="LX27" s="255">
        <f t="shared" si="27"/>
        <v>0</v>
      </c>
      <c r="LY27" s="255">
        <f t="shared" si="27"/>
        <v>0</v>
      </c>
      <c r="LZ27" s="255">
        <f t="shared" si="27"/>
        <v>0</v>
      </c>
      <c r="MA27" s="255">
        <f t="shared" si="27"/>
        <v>0</v>
      </c>
      <c r="MB27" s="255">
        <f t="shared" si="27"/>
        <v>0</v>
      </c>
      <c r="MC27" s="255">
        <f t="shared" si="27"/>
        <v>0</v>
      </c>
      <c r="MD27" s="255">
        <f t="shared" si="27"/>
        <v>0</v>
      </c>
      <c r="ME27" s="255">
        <f t="shared" si="27"/>
        <v>0</v>
      </c>
      <c r="MF27" s="255">
        <f t="shared" si="27"/>
        <v>0</v>
      </c>
      <c r="MG27" s="255">
        <f t="shared" si="27"/>
        <v>0</v>
      </c>
      <c r="MH27" s="255">
        <f t="shared" si="27"/>
        <v>0</v>
      </c>
      <c r="MI27" s="255">
        <f t="shared" si="27"/>
        <v>0</v>
      </c>
      <c r="MJ27" s="255">
        <f t="shared" si="27"/>
        <v>0</v>
      </c>
      <c r="MK27" s="255">
        <f t="shared" si="27"/>
        <v>0</v>
      </c>
      <c r="ML27" s="255">
        <f t="shared" si="27"/>
        <v>0</v>
      </c>
      <c r="MM27" s="255">
        <f t="shared" si="27"/>
        <v>0</v>
      </c>
      <c r="MN27" s="255">
        <f t="shared" si="27"/>
        <v>0</v>
      </c>
      <c r="MO27" s="255">
        <f t="shared" si="27"/>
        <v>0</v>
      </c>
      <c r="MP27" s="255">
        <f t="shared" si="27"/>
        <v>0</v>
      </c>
      <c r="MQ27" s="255">
        <f t="shared" si="27"/>
        <v>0</v>
      </c>
      <c r="MR27" s="255">
        <f t="shared" si="27"/>
        <v>0</v>
      </c>
      <c r="MS27" s="255">
        <f t="shared" si="27"/>
        <v>0</v>
      </c>
      <c r="MT27" s="255">
        <f t="shared" si="27"/>
        <v>0</v>
      </c>
      <c r="MU27" s="255">
        <f t="shared" si="27"/>
        <v>0</v>
      </c>
      <c r="MV27" s="255">
        <f t="shared" si="27"/>
        <v>0</v>
      </c>
      <c r="MW27" s="255">
        <f t="shared" si="27"/>
        <v>0</v>
      </c>
      <c r="MX27" s="255">
        <f t="shared" si="27"/>
        <v>0</v>
      </c>
      <c r="MY27" s="255">
        <f t="shared" si="27"/>
        <v>0</v>
      </c>
      <c r="MZ27" s="255">
        <f t="shared" si="27"/>
        <v>0</v>
      </c>
      <c r="NA27" s="255">
        <f t="shared" si="27"/>
        <v>0</v>
      </c>
      <c r="NB27" s="255">
        <f t="shared" si="27"/>
        <v>0</v>
      </c>
      <c r="NC27" s="255">
        <f t="shared" si="27"/>
        <v>0</v>
      </c>
      <c r="ND27" s="255">
        <f t="shared" ref="ND27" si="28">ND21</f>
        <v>0</v>
      </c>
    </row>
    <row r="28" spans="1:368" s="255" customFormat="1" ht="14.4" x14ac:dyDescent="0.3">
      <c r="A28" s="254"/>
      <c r="B28" s="257"/>
      <c r="K28" s="255">
        <f t="shared" si="6"/>
        <v>27</v>
      </c>
    </row>
    <row r="29" spans="1:368" s="255" customFormat="1" ht="14.4" x14ac:dyDescent="0.3">
      <c r="A29" s="254"/>
      <c r="B29" s="257"/>
      <c r="E29" s="255" t="s">
        <v>1159</v>
      </c>
      <c r="F29" s="255" t="s">
        <v>407</v>
      </c>
      <c r="G29" s="255" t="s">
        <v>44</v>
      </c>
      <c r="H29" s="255" t="s">
        <v>1160</v>
      </c>
      <c r="K29" s="255">
        <f t="shared" si="6"/>
        <v>28</v>
      </c>
      <c r="M29" s="255">
        <v>98</v>
      </c>
      <c r="N29" s="255">
        <v>102</v>
      </c>
      <c r="O29" s="255">
        <v>127</v>
      </c>
      <c r="P29" s="255">
        <v>96</v>
      </c>
      <c r="Q29" s="255">
        <v>31</v>
      </c>
      <c r="R29" s="255">
        <v>239</v>
      </c>
      <c r="S29" s="255">
        <v>433</v>
      </c>
      <c r="T29" s="255">
        <v>331</v>
      </c>
      <c r="U29" s="255">
        <v>535</v>
      </c>
      <c r="V29" s="255">
        <v>945</v>
      </c>
      <c r="W29" s="255">
        <v>93</v>
      </c>
      <c r="Y29" s="255">
        <v>2</v>
      </c>
      <c r="Z29" s="255">
        <v>827</v>
      </c>
      <c r="AA29" s="255">
        <v>1114</v>
      </c>
      <c r="AB29" s="255">
        <v>15364</v>
      </c>
      <c r="AC29" s="255">
        <v>479</v>
      </c>
      <c r="AD29" s="255">
        <v>28</v>
      </c>
      <c r="AE29" s="255">
        <v>334</v>
      </c>
      <c r="AF29" s="255">
        <v>218</v>
      </c>
      <c r="AG29" s="255">
        <v>79</v>
      </c>
      <c r="AH29" s="255">
        <v>108</v>
      </c>
      <c r="AI29" s="255">
        <v>207</v>
      </c>
      <c r="AJ29" s="255">
        <v>372</v>
      </c>
      <c r="AK29" s="255">
        <v>579</v>
      </c>
      <c r="AL29" s="255">
        <v>43</v>
      </c>
      <c r="AN29" s="255">
        <v>152</v>
      </c>
      <c r="AO29" s="255">
        <v>46</v>
      </c>
      <c r="AP29" s="255">
        <v>126</v>
      </c>
      <c r="AQ29" s="255">
        <v>117</v>
      </c>
      <c r="AR29" s="255">
        <v>86</v>
      </c>
      <c r="AS29" s="255">
        <v>415</v>
      </c>
      <c r="AT29" s="255">
        <v>176</v>
      </c>
      <c r="AU29" s="255">
        <v>640</v>
      </c>
      <c r="AV29" s="255">
        <v>266</v>
      </c>
      <c r="AW29" s="255">
        <v>83</v>
      </c>
      <c r="AX29" s="255">
        <v>66</v>
      </c>
      <c r="AY29" s="255">
        <v>121</v>
      </c>
      <c r="AZ29" s="255">
        <v>192</v>
      </c>
      <c r="BA29" s="255">
        <v>86</v>
      </c>
      <c r="BB29" s="255">
        <v>70</v>
      </c>
      <c r="BC29" s="255">
        <v>338</v>
      </c>
      <c r="BD29" s="255">
        <v>300</v>
      </c>
      <c r="BE29" s="255">
        <v>116</v>
      </c>
      <c r="BF29" s="255">
        <v>117</v>
      </c>
      <c r="BG29" s="255">
        <v>46</v>
      </c>
      <c r="BH29" s="255">
        <v>194</v>
      </c>
      <c r="BI29" s="255">
        <v>150</v>
      </c>
      <c r="BJ29" s="255">
        <v>115</v>
      </c>
      <c r="BK29" s="255">
        <v>415</v>
      </c>
      <c r="BL29" s="255">
        <v>134</v>
      </c>
      <c r="BM29" s="255">
        <v>313</v>
      </c>
      <c r="BN29" s="255">
        <v>107</v>
      </c>
      <c r="BO29" s="255">
        <v>63</v>
      </c>
      <c r="BP29" s="255">
        <v>111</v>
      </c>
      <c r="BQ29" s="255">
        <v>199</v>
      </c>
      <c r="BR29" s="255">
        <v>256</v>
      </c>
      <c r="BS29" s="255">
        <v>410</v>
      </c>
      <c r="BT29" s="255">
        <v>318</v>
      </c>
      <c r="BU29" s="255">
        <v>192</v>
      </c>
      <c r="BV29" s="255">
        <v>66</v>
      </c>
      <c r="BW29" s="255">
        <v>77</v>
      </c>
      <c r="BX29" s="255">
        <v>61</v>
      </c>
      <c r="BY29" s="255">
        <v>182</v>
      </c>
      <c r="BZ29" s="255">
        <v>57</v>
      </c>
      <c r="CA29" s="255">
        <v>910</v>
      </c>
      <c r="CB29" s="255">
        <v>94</v>
      </c>
      <c r="CC29" s="255">
        <v>227</v>
      </c>
      <c r="CD29" s="255">
        <v>252</v>
      </c>
      <c r="CE29" s="255">
        <v>465</v>
      </c>
      <c r="CF29" s="255">
        <v>266</v>
      </c>
      <c r="CG29" s="255">
        <v>26</v>
      </c>
      <c r="CH29" s="255">
        <v>167</v>
      </c>
      <c r="CI29" s="255">
        <v>69</v>
      </c>
      <c r="CJ29" s="255">
        <v>904</v>
      </c>
      <c r="CK29" s="255">
        <v>85</v>
      </c>
      <c r="CL29" s="255">
        <v>133</v>
      </c>
      <c r="CM29" s="255">
        <v>164</v>
      </c>
      <c r="CN29" s="255">
        <v>39</v>
      </c>
      <c r="CO29" s="255">
        <v>55</v>
      </c>
      <c r="CP29" s="255">
        <v>91</v>
      </c>
      <c r="CQ29" s="255">
        <v>135</v>
      </c>
      <c r="CR29" s="255">
        <v>703</v>
      </c>
      <c r="CS29" s="255">
        <v>47</v>
      </c>
      <c r="CT29" s="255">
        <v>170</v>
      </c>
      <c r="CU29" s="255">
        <v>88</v>
      </c>
      <c r="CV29" s="255">
        <v>1032</v>
      </c>
      <c r="CW29" s="255">
        <v>84</v>
      </c>
      <c r="CX29" s="255">
        <v>201</v>
      </c>
      <c r="CY29" s="255">
        <v>127</v>
      </c>
      <c r="CZ29" s="255">
        <v>523</v>
      </c>
      <c r="DA29" s="255">
        <v>196</v>
      </c>
      <c r="DB29" s="255">
        <v>164</v>
      </c>
      <c r="DC29" s="255">
        <v>179</v>
      </c>
      <c r="DD29" s="255">
        <v>221</v>
      </c>
      <c r="DE29" s="255">
        <v>40</v>
      </c>
      <c r="DF29" s="255">
        <v>83</v>
      </c>
      <c r="DG29" s="255">
        <v>246</v>
      </c>
      <c r="DH29" s="255">
        <v>88</v>
      </c>
      <c r="DI29" s="255">
        <v>68</v>
      </c>
      <c r="DJ29" s="255">
        <v>300</v>
      </c>
      <c r="DK29" s="255">
        <v>106</v>
      </c>
      <c r="DL29" s="255">
        <v>67</v>
      </c>
      <c r="DM29" s="255">
        <v>261</v>
      </c>
      <c r="DN29" s="255">
        <v>69</v>
      </c>
      <c r="DO29" s="255">
        <v>414</v>
      </c>
      <c r="DP29" s="255">
        <v>37</v>
      </c>
      <c r="DQ29" s="255">
        <v>4201</v>
      </c>
      <c r="DR29" s="255">
        <v>737</v>
      </c>
      <c r="DS29" s="255">
        <v>76</v>
      </c>
      <c r="DT29" s="255">
        <v>173</v>
      </c>
      <c r="DU29" s="255">
        <v>120</v>
      </c>
      <c r="DV29" s="255">
        <v>2735</v>
      </c>
      <c r="DW29" s="255">
        <v>910</v>
      </c>
      <c r="DX29" s="255">
        <v>225</v>
      </c>
      <c r="DY29" s="255">
        <v>382</v>
      </c>
      <c r="DZ29" s="255">
        <v>141</v>
      </c>
      <c r="EA29" s="255">
        <v>33</v>
      </c>
      <c r="EB29" s="255">
        <v>32</v>
      </c>
      <c r="EC29" s="255">
        <v>25</v>
      </c>
      <c r="ED29" s="255">
        <v>82</v>
      </c>
      <c r="EE29" s="255">
        <v>244</v>
      </c>
      <c r="EF29" s="255">
        <v>93</v>
      </c>
      <c r="EG29" s="255">
        <v>160</v>
      </c>
      <c r="EH29" s="255">
        <v>237</v>
      </c>
      <c r="EI29" s="255">
        <v>218</v>
      </c>
      <c r="EJ29" s="255">
        <v>92</v>
      </c>
      <c r="EK29" s="255">
        <v>237</v>
      </c>
      <c r="EL29" s="255">
        <v>193</v>
      </c>
      <c r="EM29" s="255">
        <v>131</v>
      </c>
      <c r="EN29" s="255">
        <v>265</v>
      </c>
      <c r="EO29" s="255">
        <v>240</v>
      </c>
      <c r="EP29" s="255">
        <v>43</v>
      </c>
      <c r="EQ29" s="255">
        <v>191</v>
      </c>
      <c r="ER29" s="255">
        <v>487</v>
      </c>
      <c r="ES29" s="255">
        <v>63</v>
      </c>
      <c r="ET29" s="255">
        <v>192</v>
      </c>
      <c r="EU29" s="255">
        <v>98</v>
      </c>
      <c r="EV29" s="255">
        <v>101</v>
      </c>
      <c r="EW29" s="255">
        <v>317</v>
      </c>
      <c r="EY29" s="255">
        <v>148</v>
      </c>
      <c r="FA29" s="255">
        <v>444</v>
      </c>
      <c r="FB29" s="255">
        <v>174</v>
      </c>
      <c r="FC29" s="255">
        <v>111</v>
      </c>
      <c r="FD29" s="255">
        <v>878</v>
      </c>
      <c r="FE29" s="255">
        <v>207</v>
      </c>
      <c r="FF29" s="255">
        <v>182</v>
      </c>
      <c r="FG29" s="255">
        <v>266</v>
      </c>
      <c r="FH29" s="255">
        <v>154</v>
      </c>
      <c r="FI29" s="255">
        <v>154</v>
      </c>
      <c r="FJ29" s="255">
        <v>252</v>
      </c>
      <c r="FK29" s="255">
        <v>42</v>
      </c>
      <c r="FL29" s="255">
        <v>319</v>
      </c>
      <c r="FM29" s="255">
        <v>87</v>
      </c>
      <c r="FN29" s="255">
        <v>80</v>
      </c>
      <c r="FO29" s="255">
        <v>147</v>
      </c>
      <c r="FP29" s="255">
        <v>355</v>
      </c>
      <c r="FQ29" s="255">
        <v>164</v>
      </c>
      <c r="FR29" s="255">
        <v>76</v>
      </c>
      <c r="FS29" s="255">
        <v>61</v>
      </c>
      <c r="FT29" s="255">
        <v>149</v>
      </c>
      <c r="FU29" s="255">
        <v>99</v>
      </c>
      <c r="FV29" s="255">
        <v>439</v>
      </c>
      <c r="FW29" s="255">
        <v>43</v>
      </c>
      <c r="FX29" s="255">
        <v>253</v>
      </c>
      <c r="FY29" s="255">
        <v>544</v>
      </c>
      <c r="FZ29" s="255">
        <v>174</v>
      </c>
      <c r="GA29" s="255">
        <v>511</v>
      </c>
      <c r="GB29" s="255">
        <v>191</v>
      </c>
      <c r="GC29" s="255">
        <v>284</v>
      </c>
      <c r="GD29" s="255">
        <v>183</v>
      </c>
      <c r="GE29" s="255">
        <v>129</v>
      </c>
      <c r="GF29" s="255">
        <v>66</v>
      </c>
      <c r="GG29" s="255">
        <v>280</v>
      </c>
      <c r="GH29" s="255">
        <v>84</v>
      </c>
      <c r="GI29" s="255">
        <v>113</v>
      </c>
      <c r="GJ29" s="255">
        <v>66</v>
      </c>
      <c r="GK29" s="255">
        <v>130</v>
      </c>
      <c r="GL29" s="255">
        <v>149</v>
      </c>
      <c r="GM29" s="255">
        <v>70</v>
      </c>
      <c r="GN29" s="255">
        <v>138</v>
      </c>
      <c r="GO29" s="255">
        <v>444</v>
      </c>
      <c r="GP29" s="255">
        <v>147</v>
      </c>
      <c r="GQ29" s="255">
        <v>94</v>
      </c>
      <c r="GR29" s="255">
        <v>422</v>
      </c>
      <c r="GS29" s="255">
        <v>48</v>
      </c>
      <c r="GT29" s="255">
        <v>103</v>
      </c>
      <c r="GU29" s="255">
        <v>159</v>
      </c>
      <c r="GV29" s="255">
        <v>167</v>
      </c>
      <c r="GX29" s="255">
        <v>92</v>
      </c>
      <c r="GY29" s="255">
        <v>205</v>
      </c>
      <c r="HA29" s="255">
        <v>213</v>
      </c>
      <c r="HB29" s="255">
        <v>106</v>
      </c>
      <c r="HC29" s="255">
        <v>17</v>
      </c>
      <c r="HD29" s="255">
        <v>172</v>
      </c>
      <c r="HE29" s="255">
        <v>207</v>
      </c>
      <c r="HF29" s="255">
        <v>266</v>
      </c>
      <c r="HG29" s="255">
        <v>280</v>
      </c>
      <c r="HH29" s="255">
        <v>322</v>
      </c>
      <c r="HI29" s="255">
        <v>609</v>
      </c>
      <c r="HJ29" s="255">
        <v>782</v>
      </c>
      <c r="HL29" s="255">
        <v>123</v>
      </c>
      <c r="HM29" s="255">
        <v>123</v>
      </c>
      <c r="HN29" s="255">
        <v>157</v>
      </c>
      <c r="HO29" s="255">
        <v>92</v>
      </c>
      <c r="HP29" s="255">
        <v>82</v>
      </c>
      <c r="HQ29" s="255">
        <v>111</v>
      </c>
      <c r="HR29" s="255">
        <v>110</v>
      </c>
      <c r="HS29" s="255">
        <v>134</v>
      </c>
      <c r="HT29" s="255">
        <v>153</v>
      </c>
      <c r="HU29" s="255">
        <v>192</v>
      </c>
      <c r="HV29" s="255">
        <v>89</v>
      </c>
      <c r="HW29" s="255">
        <v>78</v>
      </c>
      <c r="HX29" s="255">
        <v>113</v>
      </c>
      <c r="HY29" s="255">
        <v>210</v>
      </c>
      <c r="HZ29" s="255">
        <v>140</v>
      </c>
      <c r="IA29" s="255">
        <v>114</v>
      </c>
      <c r="IB29" s="255">
        <v>197</v>
      </c>
      <c r="IC29" s="255">
        <v>38</v>
      </c>
      <c r="ID29" s="255">
        <v>69</v>
      </c>
      <c r="IE29" s="255">
        <v>135</v>
      </c>
      <c r="IF29" s="255">
        <v>313</v>
      </c>
      <c r="IG29" s="255">
        <v>214</v>
      </c>
      <c r="IH29" s="255">
        <v>144</v>
      </c>
      <c r="II29" s="255">
        <v>70</v>
      </c>
      <c r="IJ29" s="255">
        <v>193</v>
      </c>
      <c r="IK29" s="255">
        <v>47</v>
      </c>
      <c r="IL29" s="255">
        <v>294</v>
      </c>
      <c r="IM29" s="255">
        <v>47</v>
      </c>
      <c r="IN29" s="255">
        <v>262</v>
      </c>
      <c r="IO29" s="255">
        <v>257</v>
      </c>
      <c r="IP29" s="255">
        <v>229</v>
      </c>
      <c r="IQ29" s="255">
        <v>225</v>
      </c>
      <c r="IR29" s="255">
        <v>112</v>
      </c>
      <c r="IS29" s="255">
        <v>86</v>
      </c>
      <c r="IT29" s="255">
        <v>40</v>
      </c>
      <c r="IU29" s="255">
        <v>84</v>
      </c>
      <c r="IV29" s="255">
        <v>141</v>
      </c>
      <c r="IW29" s="255">
        <v>126</v>
      </c>
      <c r="IX29" s="255">
        <v>386</v>
      </c>
      <c r="IY29" s="255">
        <v>92</v>
      </c>
      <c r="IZ29" s="255">
        <v>839</v>
      </c>
      <c r="JA29" s="255">
        <v>98</v>
      </c>
      <c r="JB29" s="255">
        <v>151</v>
      </c>
      <c r="JC29" s="255">
        <v>430</v>
      </c>
      <c r="JD29" s="255">
        <v>182</v>
      </c>
      <c r="JE29" s="255">
        <v>5430</v>
      </c>
      <c r="JF29" s="255">
        <v>3</v>
      </c>
      <c r="JG29" s="255">
        <v>107</v>
      </c>
      <c r="JH29" s="255">
        <v>376</v>
      </c>
      <c r="JI29" s="255">
        <v>148</v>
      </c>
      <c r="JJ29" s="255">
        <v>397</v>
      </c>
      <c r="JK29" s="255">
        <v>6</v>
      </c>
      <c r="JL29" s="255">
        <v>548</v>
      </c>
      <c r="JM29" s="255">
        <v>25</v>
      </c>
      <c r="JN29" s="255">
        <v>142</v>
      </c>
      <c r="JO29" s="255">
        <v>271</v>
      </c>
      <c r="JP29" s="255">
        <v>189</v>
      </c>
      <c r="JQ29" s="255">
        <v>34</v>
      </c>
      <c r="JR29" s="255">
        <v>201</v>
      </c>
      <c r="JS29" s="255">
        <v>180</v>
      </c>
      <c r="JT29" s="255">
        <v>200</v>
      </c>
      <c r="JU29" s="255">
        <v>105</v>
      </c>
      <c r="JV29" s="255">
        <v>52</v>
      </c>
      <c r="JW29" s="255">
        <v>93</v>
      </c>
      <c r="JX29" s="255">
        <v>55</v>
      </c>
      <c r="JY29" s="255">
        <v>65</v>
      </c>
      <c r="JZ29" s="255">
        <v>168</v>
      </c>
      <c r="KA29" s="255">
        <v>108</v>
      </c>
      <c r="KB29" s="255">
        <v>62</v>
      </c>
      <c r="KC29" s="255">
        <v>475</v>
      </c>
      <c r="KD29" s="255">
        <v>313</v>
      </c>
      <c r="KE29" s="255">
        <v>284</v>
      </c>
      <c r="KF29" s="255">
        <v>7</v>
      </c>
      <c r="KG29" s="255">
        <v>129</v>
      </c>
      <c r="KH29" s="255">
        <v>311</v>
      </c>
      <c r="KI29" s="255">
        <v>121</v>
      </c>
      <c r="KJ29" s="255">
        <v>124</v>
      </c>
      <c r="KK29" s="255">
        <v>2316</v>
      </c>
      <c r="KL29" s="255">
        <v>235</v>
      </c>
      <c r="KM29" s="255">
        <v>101</v>
      </c>
      <c r="KN29" s="255">
        <v>168</v>
      </c>
      <c r="KO29" s="255">
        <v>146</v>
      </c>
      <c r="KP29" s="255">
        <v>168</v>
      </c>
      <c r="KQ29" s="255">
        <v>111</v>
      </c>
      <c r="KR29" s="255">
        <v>213</v>
      </c>
      <c r="KS29" s="255">
        <v>15</v>
      </c>
      <c r="KT29" s="255">
        <v>2552</v>
      </c>
      <c r="KU29" s="255">
        <v>339</v>
      </c>
      <c r="KV29" s="255">
        <v>39</v>
      </c>
      <c r="KW29" s="255">
        <v>60</v>
      </c>
      <c r="KX29" s="255">
        <v>79</v>
      </c>
      <c r="KY29" s="255">
        <v>53</v>
      </c>
      <c r="KZ29" s="255">
        <v>122</v>
      </c>
      <c r="LA29" s="255">
        <v>184</v>
      </c>
      <c r="LB29" s="255">
        <v>57</v>
      </c>
      <c r="LC29" s="255">
        <v>307</v>
      </c>
      <c r="LD29" s="255">
        <v>295</v>
      </c>
      <c r="LE29" s="255">
        <v>232</v>
      </c>
      <c r="LG29" s="255">
        <v>413</v>
      </c>
      <c r="LH29" s="255">
        <v>1</v>
      </c>
      <c r="LI29" s="255">
        <v>93</v>
      </c>
      <c r="LJ29" s="255">
        <v>20</v>
      </c>
      <c r="LK29" s="255">
        <v>151</v>
      </c>
      <c r="LL29" s="255">
        <v>203</v>
      </c>
      <c r="LM29" s="255">
        <v>66</v>
      </c>
      <c r="LO29" s="255">
        <v>27</v>
      </c>
      <c r="LP29" s="255">
        <v>108</v>
      </c>
      <c r="LQ29" s="255">
        <v>202</v>
      </c>
      <c r="LR29" s="255">
        <v>144</v>
      </c>
      <c r="LS29" s="255">
        <v>108</v>
      </c>
      <c r="LT29" s="255">
        <v>77</v>
      </c>
      <c r="LU29" s="255">
        <v>223</v>
      </c>
      <c r="LV29" s="255">
        <v>113</v>
      </c>
      <c r="LX29" s="255">
        <v>72</v>
      </c>
      <c r="LZ29" s="255">
        <v>119</v>
      </c>
      <c r="MA29" s="255">
        <v>25</v>
      </c>
      <c r="MC29" s="255">
        <v>767</v>
      </c>
      <c r="MD29" s="255">
        <v>166</v>
      </c>
      <c r="ME29" s="255">
        <v>238</v>
      </c>
      <c r="MF29" s="255">
        <v>124</v>
      </c>
      <c r="MG29" s="255">
        <v>124</v>
      </c>
      <c r="MH29" s="255">
        <v>178</v>
      </c>
      <c r="MI29" s="255">
        <v>160</v>
      </c>
      <c r="MJ29" s="255">
        <v>117</v>
      </c>
      <c r="MK29" s="255">
        <v>71</v>
      </c>
      <c r="ML29" s="255">
        <v>230</v>
      </c>
      <c r="MM29" s="255">
        <v>117</v>
      </c>
      <c r="MN29" s="255">
        <v>94</v>
      </c>
      <c r="MO29" s="255">
        <v>0</v>
      </c>
      <c r="MP29" s="255">
        <v>1744</v>
      </c>
      <c r="MQ29" s="255">
        <v>118</v>
      </c>
      <c r="MR29" s="255">
        <v>37</v>
      </c>
      <c r="MS29" s="255">
        <v>91</v>
      </c>
      <c r="MT29" s="255">
        <v>293</v>
      </c>
      <c r="MU29" s="255">
        <v>122</v>
      </c>
      <c r="MV29" s="255">
        <v>585</v>
      </c>
      <c r="MW29" s="255">
        <v>71</v>
      </c>
      <c r="MX29" s="255">
        <v>367</v>
      </c>
      <c r="MY29" s="255">
        <v>283</v>
      </c>
      <c r="MZ29" s="255">
        <v>100</v>
      </c>
      <c r="NA29" s="255">
        <v>72</v>
      </c>
      <c r="NB29" s="255">
        <v>77</v>
      </c>
      <c r="NC29" s="255">
        <v>556</v>
      </c>
      <c r="ND29" s="255">
        <v>560</v>
      </c>
    </row>
    <row r="30" spans="1:368" s="255" customFormat="1" ht="14.4" x14ac:dyDescent="0.3">
      <c r="A30" s="254"/>
      <c r="B30" s="257"/>
      <c r="E30" s="255" t="s">
        <v>645</v>
      </c>
      <c r="F30" s="255" t="s">
        <v>407</v>
      </c>
      <c r="G30" s="255" t="s">
        <v>44</v>
      </c>
      <c r="H30" s="255" t="s">
        <v>1160</v>
      </c>
      <c r="K30" s="255">
        <f t="shared" si="6"/>
        <v>29</v>
      </c>
      <c r="M30" s="255">
        <f t="shared" ref="M30:BX30" si="29">M29*0.1</f>
        <v>9.8000000000000007</v>
      </c>
      <c r="N30" s="255">
        <f t="shared" si="29"/>
        <v>10.200000000000001</v>
      </c>
      <c r="O30" s="255">
        <f t="shared" si="29"/>
        <v>12.700000000000001</v>
      </c>
      <c r="P30" s="255">
        <f t="shared" si="29"/>
        <v>9.6000000000000014</v>
      </c>
      <c r="Q30" s="255">
        <f t="shared" si="29"/>
        <v>3.1</v>
      </c>
      <c r="R30" s="255">
        <f t="shared" si="29"/>
        <v>23.900000000000002</v>
      </c>
      <c r="S30" s="255">
        <f t="shared" si="29"/>
        <v>43.300000000000004</v>
      </c>
      <c r="T30" s="255">
        <f t="shared" si="29"/>
        <v>33.1</v>
      </c>
      <c r="U30" s="255">
        <f t="shared" si="29"/>
        <v>53.5</v>
      </c>
      <c r="V30" s="255">
        <f t="shared" si="29"/>
        <v>94.5</v>
      </c>
      <c r="W30" s="255">
        <f t="shared" si="29"/>
        <v>9.3000000000000007</v>
      </c>
      <c r="X30" s="255">
        <f t="shared" si="29"/>
        <v>0</v>
      </c>
      <c r="Y30" s="255">
        <f t="shared" si="29"/>
        <v>0.2</v>
      </c>
      <c r="Z30" s="255">
        <f t="shared" si="29"/>
        <v>82.7</v>
      </c>
      <c r="AA30" s="255">
        <f t="shared" si="29"/>
        <v>111.4</v>
      </c>
      <c r="AB30" s="255">
        <f t="shared" si="29"/>
        <v>1536.4</v>
      </c>
      <c r="AC30" s="255">
        <f t="shared" si="29"/>
        <v>47.900000000000006</v>
      </c>
      <c r="AD30" s="255">
        <f t="shared" si="29"/>
        <v>2.8000000000000003</v>
      </c>
      <c r="AE30" s="255">
        <f t="shared" si="29"/>
        <v>33.4</v>
      </c>
      <c r="AF30" s="255">
        <f t="shared" si="29"/>
        <v>21.8</v>
      </c>
      <c r="AG30" s="255">
        <f t="shared" si="29"/>
        <v>7.9</v>
      </c>
      <c r="AH30" s="255">
        <f t="shared" si="29"/>
        <v>10.8</v>
      </c>
      <c r="AI30" s="255">
        <f t="shared" si="29"/>
        <v>20.700000000000003</v>
      </c>
      <c r="AJ30" s="255">
        <f t="shared" si="29"/>
        <v>37.200000000000003</v>
      </c>
      <c r="AK30" s="255">
        <f t="shared" si="29"/>
        <v>57.900000000000006</v>
      </c>
      <c r="AL30" s="255">
        <f t="shared" si="29"/>
        <v>4.3</v>
      </c>
      <c r="AM30" s="255">
        <f t="shared" si="29"/>
        <v>0</v>
      </c>
      <c r="AN30" s="255">
        <f t="shared" si="29"/>
        <v>15.200000000000001</v>
      </c>
      <c r="AO30" s="255">
        <f t="shared" si="29"/>
        <v>4.6000000000000005</v>
      </c>
      <c r="AP30" s="255">
        <f t="shared" si="29"/>
        <v>12.600000000000001</v>
      </c>
      <c r="AQ30" s="255">
        <f t="shared" si="29"/>
        <v>11.700000000000001</v>
      </c>
      <c r="AR30" s="255">
        <f t="shared" si="29"/>
        <v>8.6</v>
      </c>
      <c r="AS30" s="255">
        <f t="shared" si="29"/>
        <v>41.5</v>
      </c>
      <c r="AT30" s="255">
        <f t="shared" si="29"/>
        <v>17.600000000000001</v>
      </c>
      <c r="AU30" s="255">
        <f t="shared" si="29"/>
        <v>64</v>
      </c>
      <c r="AV30" s="255">
        <f t="shared" si="29"/>
        <v>26.6</v>
      </c>
      <c r="AW30" s="255">
        <f t="shared" si="29"/>
        <v>8.3000000000000007</v>
      </c>
      <c r="AX30" s="255">
        <f t="shared" si="29"/>
        <v>6.6000000000000005</v>
      </c>
      <c r="AY30" s="255">
        <f t="shared" si="29"/>
        <v>12.100000000000001</v>
      </c>
      <c r="AZ30" s="255">
        <f t="shared" si="29"/>
        <v>19.200000000000003</v>
      </c>
      <c r="BA30" s="255">
        <f t="shared" si="29"/>
        <v>8.6</v>
      </c>
      <c r="BB30" s="255">
        <f t="shared" si="29"/>
        <v>7</v>
      </c>
      <c r="BC30" s="255">
        <f t="shared" si="29"/>
        <v>33.800000000000004</v>
      </c>
      <c r="BD30" s="255">
        <f t="shared" si="29"/>
        <v>30</v>
      </c>
      <c r="BE30" s="255">
        <f t="shared" si="29"/>
        <v>11.600000000000001</v>
      </c>
      <c r="BF30" s="255">
        <f t="shared" si="29"/>
        <v>11.700000000000001</v>
      </c>
      <c r="BG30" s="255">
        <f t="shared" si="29"/>
        <v>4.6000000000000005</v>
      </c>
      <c r="BH30" s="255">
        <f t="shared" si="29"/>
        <v>19.400000000000002</v>
      </c>
      <c r="BI30" s="255">
        <f t="shared" si="29"/>
        <v>15</v>
      </c>
      <c r="BJ30" s="255">
        <f t="shared" si="29"/>
        <v>11.5</v>
      </c>
      <c r="BK30" s="255">
        <f t="shared" si="29"/>
        <v>41.5</v>
      </c>
      <c r="BL30" s="255">
        <f t="shared" si="29"/>
        <v>13.4</v>
      </c>
      <c r="BM30" s="255">
        <f t="shared" si="29"/>
        <v>31.3</v>
      </c>
      <c r="BN30" s="255">
        <f t="shared" si="29"/>
        <v>10.700000000000001</v>
      </c>
      <c r="BO30" s="255">
        <f t="shared" si="29"/>
        <v>6.3000000000000007</v>
      </c>
      <c r="BP30" s="255">
        <f t="shared" si="29"/>
        <v>11.100000000000001</v>
      </c>
      <c r="BQ30" s="255">
        <f t="shared" si="29"/>
        <v>19.900000000000002</v>
      </c>
      <c r="BR30" s="255">
        <f t="shared" si="29"/>
        <v>25.6</v>
      </c>
      <c r="BS30" s="255">
        <f t="shared" si="29"/>
        <v>41</v>
      </c>
      <c r="BT30" s="255">
        <f t="shared" si="29"/>
        <v>31.8</v>
      </c>
      <c r="BU30" s="255">
        <f t="shared" si="29"/>
        <v>19.200000000000003</v>
      </c>
      <c r="BV30" s="255">
        <f t="shared" si="29"/>
        <v>6.6000000000000005</v>
      </c>
      <c r="BW30" s="255">
        <f t="shared" si="29"/>
        <v>7.7</v>
      </c>
      <c r="BX30" s="255">
        <f t="shared" si="29"/>
        <v>6.1000000000000005</v>
      </c>
      <c r="BY30" s="255">
        <f t="shared" ref="BY30:EJ30" si="30">BY29*0.1</f>
        <v>18.2</v>
      </c>
      <c r="BZ30" s="255">
        <f t="shared" si="30"/>
        <v>5.7</v>
      </c>
      <c r="CA30" s="255">
        <f t="shared" si="30"/>
        <v>91</v>
      </c>
      <c r="CB30" s="255">
        <f t="shared" si="30"/>
        <v>9.4</v>
      </c>
      <c r="CC30" s="255">
        <f t="shared" si="30"/>
        <v>22.700000000000003</v>
      </c>
      <c r="CD30" s="255">
        <f t="shared" si="30"/>
        <v>25.200000000000003</v>
      </c>
      <c r="CE30" s="255">
        <f t="shared" si="30"/>
        <v>46.5</v>
      </c>
      <c r="CF30" s="255">
        <f t="shared" si="30"/>
        <v>26.6</v>
      </c>
      <c r="CG30" s="255">
        <f t="shared" si="30"/>
        <v>2.6</v>
      </c>
      <c r="CH30" s="255">
        <f t="shared" si="30"/>
        <v>16.7</v>
      </c>
      <c r="CI30" s="255">
        <f t="shared" si="30"/>
        <v>6.9</v>
      </c>
      <c r="CJ30" s="255">
        <f t="shared" si="30"/>
        <v>90.4</v>
      </c>
      <c r="CK30" s="255">
        <f t="shared" si="30"/>
        <v>8.5</v>
      </c>
      <c r="CL30" s="255">
        <f t="shared" si="30"/>
        <v>13.3</v>
      </c>
      <c r="CM30" s="255">
        <f t="shared" si="30"/>
        <v>16.400000000000002</v>
      </c>
      <c r="CN30" s="255">
        <f t="shared" si="30"/>
        <v>3.9000000000000004</v>
      </c>
      <c r="CO30" s="255">
        <f t="shared" si="30"/>
        <v>5.5</v>
      </c>
      <c r="CP30" s="255">
        <f t="shared" si="30"/>
        <v>9.1</v>
      </c>
      <c r="CQ30" s="255">
        <f t="shared" si="30"/>
        <v>13.5</v>
      </c>
      <c r="CR30" s="255">
        <f t="shared" si="30"/>
        <v>70.3</v>
      </c>
      <c r="CS30" s="255">
        <f t="shared" si="30"/>
        <v>4.7</v>
      </c>
      <c r="CT30" s="255">
        <f t="shared" si="30"/>
        <v>17</v>
      </c>
      <c r="CU30" s="255">
        <f t="shared" si="30"/>
        <v>8.8000000000000007</v>
      </c>
      <c r="CV30" s="255">
        <f t="shared" si="30"/>
        <v>103.2</v>
      </c>
      <c r="CW30" s="255">
        <f t="shared" si="30"/>
        <v>8.4</v>
      </c>
      <c r="CX30" s="255">
        <f t="shared" si="30"/>
        <v>20.100000000000001</v>
      </c>
      <c r="CY30" s="255">
        <f t="shared" si="30"/>
        <v>12.700000000000001</v>
      </c>
      <c r="CZ30" s="255">
        <f t="shared" si="30"/>
        <v>52.300000000000004</v>
      </c>
      <c r="DA30" s="255">
        <f t="shared" si="30"/>
        <v>19.600000000000001</v>
      </c>
      <c r="DB30" s="255">
        <f t="shared" si="30"/>
        <v>16.400000000000002</v>
      </c>
      <c r="DC30" s="255">
        <f t="shared" si="30"/>
        <v>17.900000000000002</v>
      </c>
      <c r="DD30" s="255">
        <f t="shared" si="30"/>
        <v>22.1</v>
      </c>
      <c r="DE30" s="255">
        <f t="shared" si="30"/>
        <v>4</v>
      </c>
      <c r="DF30" s="255">
        <f t="shared" si="30"/>
        <v>8.3000000000000007</v>
      </c>
      <c r="DG30" s="255">
        <f t="shared" si="30"/>
        <v>24.6</v>
      </c>
      <c r="DH30" s="255">
        <f t="shared" si="30"/>
        <v>8.8000000000000007</v>
      </c>
      <c r="DI30" s="255">
        <f t="shared" si="30"/>
        <v>6.8000000000000007</v>
      </c>
      <c r="DJ30" s="255">
        <f t="shared" si="30"/>
        <v>30</v>
      </c>
      <c r="DK30" s="255">
        <f t="shared" si="30"/>
        <v>10.600000000000001</v>
      </c>
      <c r="DL30" s="255">
        <f t="shared" si="30"/>
        <v>6.7</v>
      </c>
      <c r="DM30" s="255">
        <f t="shared" si="30"/>
        <v>26.1</v>
      </c>
      <c r="DN30" s="255">
        <f t="shared" si="30"/>
        <v>6.9</v>
      </c>
      <c r="DO30" s="255">
        <f t="shared" si="30"/>
        <v>41.400000000000006</v>
      </c>
      <c r="DP30" s="255">
        <f t="shared" si="30"/>
        <v>3.7</v>
      </c>
      <c r="DQ30" s="255">
        <f t="shared" si="30"/>
        <v>420.1</v>
      </c>
      <c r="DR30" s="255">
        <f t="shared" si="30"/>
        <v>73.7</v>
      </c>
      <c r="DS30" s="255">
        <f t="shared" si="30"/>
        <v>7.6000000000000005</v>
      </c>
      <c r="DT30" s="255">
        <f t="shared" si="30"/>
        <v>17.3</v>
      </c>
      <c r="DU30" s="255">
        <f t="shared" si="30"/>
        <v>12</v>
      </c>
      <c r="DV30" s="255">
        <f t="shared" si="30"/>
        <v>273.5</v>
      </c>
      <c r="DW30" s="255">
        <f t="shared" si="30"/>
        <v>91</v>
      </c>
      <c r="DX30" s="255">
        <f t="shared" si="30"/>
        <v>22.5</v>
      </c>
      <c r="DY30" s="255">
        <f t="shared" si="30"/>
        <v>38.200000000000003</v>
      </c>
      <c r="DZ30" s="255">
        <f t="shared" si="30"/>
        <v>14.100000000000001</v>
      </c>
      <c r="EA30" s="255">
        <f t="shared" si="30"/>
        <v>3.3000000000000003</v>
      </c>
      <c r="EB30" s="255">
        <f t="shared" si="30"/>
        <v>3.2</v>
      </c>
      <c r="EC30" s="255">
        <f t="shared" si="30"/>
        <v>2.5</v>
      </c>
      <c r="ED30" s="255">
        <f t="shared" si="30"/>
        <v>8.2000000000000011</v>
      </c>
      <c r="EE30" s="255">
        <f t="shared" si="30"/>
        <v>24.400000000000002</v>
      </c>
      <c r="EF30" s="255">
        <f t="shared" si="30"/>
        <v>9.3000000000000007</v>
      </c>
      <c r="EG30" s="255">
        <f t="shared" si="30"/>
        <v>16</v>
      </c>
      <c r="EH30" s="255">
        <f t="shared" si="30"/>
        <v>23.700000000000003</v>
      </c>
      <c r="EI30" s="255">
        <f t="shared" si="30"/>
        <v>21.8</v>
      </c>
      <c r="EJ30" s="255">
        <f t="shared" si="30"/>
        <v>9.2000000000000011</v>
      </c>
      <c r="EK30" s="255">
        <f t="shared" ref="EK30:GV30" si="31">EK29*0.1</f>
        <v>23.700000000000003</v>
      </c>
      <c r="EL30" s="255">
        <f t="shared" si="31"/>
        <v>19.3</v>
      </c>
      <c r="EM30" s="255">
        <f t="shared" si="31"/>
        <v>13.100000000000001</v>
      </c>
      <c r="EN30" s="255">
        <f t="shared" si="31"/>
        <v>26.5</v>
      </c>
      <c r="EO30" s="255">
        <f t="shared" si="31"/>
        <v>24</v>
      </c>
      <c r="EP30" s="255">
        <f t="shared" si="31"/>
        <v>4.3</v>
      </c>
      <c r="EQ30" s="255">
        <f t="shared" si="31"/>
        <v>19.100000000000001</v>
      </c>
      <c r="ER30" s="255">
        <f t="shared" si="31"/>
        <v>48.7</v>
      </c>
      <c r="ES30" s="255">
        <f t="shared" si="31"/>
        <v>6.3000000000000007</v>
      </c>
      <c r="ET30" s="255">
        <f t="shared" si="31"/>
        <v>19.200000000000003</v>
      </c>
      <c r="EU30" s="255">
        <f t="shared" si="31"/>
        <v>9.8000000000000007</v>
      </c>
      <c r="EV30" s="255">
        <f t="shared" si="31"/>
        <v>10.100000000000001</v>
      </c>
      <c r="EW30" s="255">
        <f t="shared" si="31"/>
        <v>31.700000000000003</v>
      </c>
      <c r="EX30" s="255">
        <f t="shared" si="31"/>
        <v>0</v>
      </c>
      <c r="EY30" s="255">
        <f t="shared" si="31"/>
        <v>14.8</v>
      </c>
      <c r="EZ30" s="255">
        <f t="shared" si="31"/>
        <v>0</v>
      </c>
      <c r="FA30" s="255">
        <f t="shared" si="31"/>
        <v>44.400000000000006</v>
      </c>
      <c r="FB30" s="255">
        <f t="shared" si="31"/>
        <v>17.400000000000002</v>
      </c>
      <c r="FC30" s="255">
        <f t="shared" si="31"/>
        <v>11.100000000000001</v>
      </c>
      <c r="FD30" s="255">
        <f t="shared" si="31"/>
        <v>87.800000000000011</v>
      </c>
      <c r="FE30" s="255">
        <f t="shared" si="31"/>
        <v>20.700000000000003</v>
      </c>
      <c r="FF30" s="255">
        <f t="shared" si="31"/>
        <v>18.2</v>
      </c>
      <c r="FG30" s="255">
        <f t="shared" si="31"/>
        <v>26.6</v>
      </c>
      <c r="FH30" s="255">
        <f t="shared" si="31"/>
        <v>15.4</v>
      </c>
      <c r="FI30" s="255">
        <f t="shared" si="31"/>
        <v>15.4</v>
      </c>
      <c r="FJ30" s="255">
        <f t="shared" si="31"/>
        <v>25.200000000000003</v>
      </c>
      <c r="FK30" s="255">
        <f t="shared" si="31"/>
        <v>4.2</v>
      </c>
      <c r="FL30" s="255">
        <f t="shared" si="31"/>
        <v>31.900000000000002</v>
      </c>
      <c r="FM30" s="255">
        <f t="shared" si="31"/>
        <v>8.7000000000000011</v>
      </c>
      <c r="FN30" s="255">
        <f t="shared" si="31"/>
        <v>8</v>
      </c>
      <c r="FO30" s="255">
        <f t="shared" si="31"/>
        <v>14.700000000000001</v>
      </c>
      <c r="FP30" s="255">
        <f t="shared" si="31"/>
        <v>35.5</v>
      </c>
      <c r="FQ30" s="255">
        <f t="shared" si="31"/>
        <v>16.400000000000002</v>
      </c>
      <c r="FR30" s="255">
        <f t="shared" si="31"/>
        <v>7.6000000000000005</v>
      </c>
      <c r="FS30" s="255">
        <f t="shared" si="31"/>
        <v>6.1000000000000005</v>
      </c>
      <c r="FT30" s="255">
        <f t="shared" si="31"/>
        <v>14.9</v>
      </c>
      <c r="FU30" s="255">
        <f t="shared" si="31"/>
        <v>9.9</v>
      </c>
      <c r="FV30" s="255">
        <f t="shared" si="31"/>
        <v>43.900000000000006</v>
      </c>
      <c r="FW30" s="255">
        <f t="shared" si="31"/>
        <v>4.3</v>
      </c>
      <c r="FX30" s="255">
        <f t="shared" si="31"/>
        <v>25.3</v>
      </c>
      <c r="FY30" s="255">
        <f t="shared" si="31"/>
        <v>54.400000000000006</v>
      </c>
      <c r="FZ30" s="255">
        <f t="shared" si="31"/>
        <v>17.400000000000002</v>
      </c>
      <c r="GA30" s="255">
        <f t="shared" si="31"/>
        <v>51.1</v>
      </c>
      <c r="GB30" s="255">
        <f t="shared" si="31"/>
        <v>19.100000000000001</v>
      </c>
      <c r="GC30" s="255">
        <f t="shared" si="31"/>
        <v>28.400000000000002</v>
      </c>
      <c r="GD30" s="255">
        <f t="shared" si="31"/>
        <v>18.3</v>
      </c>
      <c r="GE30" s="255">
        <f t="shared" si="31"/>
        <v>12.9</v>
      </c>
      <c r="GF30" s="255">
        <f t="shared" si="31"/>
        <v>6.6000000000000005</v>
      </c>
      <c r="GG30" s="255">
        <f t="shared" si="31"/>
        <v>28</v>
      </c>
      <c r="GH30" s="255">
        <f t="shared" si="31"/>
        <v>8.4</v>
      </c>
      <c r="GI30" s="255">
        <f t="shared" si="31"/>
        <v>11.3</v>
      </c>
      <c r="GJ30" s="255">
        <f t="shared" si="31"/>
        <v>6.6000000000000005</v>
      </c>
      <c r="GK30" s="255">
        <f t="shared" si="31"/>
        <v>13</v>
      </c>
      <c r="GL30" s="255">
        <f t="shared" si="31"/>
        <v>14.9</v>
      </c>
      <c r="GM30" s="255">
        <f t="shared" si="31"/>
        <v>7</v>
      </c>
      <c r="GN30" s="255">
        <f t="shared" si="31"/>
        <v>13.8</v>
      </c>
      <c r="GO30" s="255">
        <f t="shared" si="31"/>
        <v>44.400000000000006</v>
      </c>
      <c r="GP30" s="255">
        <f t="shared" si="31"/>
        <v>14.700000000000001</v>
      </c>
      <c r="GQ30" s="255">
        <f t="shared" si="31"/>
        <v>9.4</v>
      </c>
      <c r="GR30" s="255">
        <f t="shared" si="31"/>
        <v>42.2</v>
      </c>
      <c r="GS30" s="255">
        <f t="shared" si="31"/>
        <v>4.8000000000000007</v>
      </c>
      <c r="GT30" s="255">
        <f t="shared" si="31"/>
        <v>10.3</v>
      </c>
      <c r="GU30" s="255">
        <f t="shared" si="31"/>
        <v>15.9</v>
      </c>
      <c r="GV30" s="255">
        <f t="shared" si="31"/>
        <v>16.7</v>
      </c>
      <c r="GW30" s="255">
        <f t="shared" ref="GW30:JH30" si="32">GW29*0.1</f>
        <v>0</v>
      </c>
      <c r="GX30" s="255">
        <f t="shared" si="32"/>
        <v>9.2000000000000011</v>
      </c>
      <c r="GY30" s="255">
        <f t="shared" si="32"/>
        <v>20.5</v>
      </c>
      <c r="GZ30" s="255">
        <f t="shared" si="32"/>
        <v>0</v>
      </c>
      <c r="HA30" s="255">
        <f t="shared" si="32"/>
        <v>21.3</v>
      </c>
      <c r="HB30" s="255">
        <f t="shared" si="32"/>
        <v>10.600000000000001</v>
      </c>
      <c r="HC30" s="255">
        <f t="shared" si="32"/>
        <v>1.7000000000000002</v>
      </c>
      <c r="HD30" s="255">
        <f t="shared" si="32"/>
        <v>17.2</v>
      </c>
      <c r="HE30" s="255">
        <f t="shared" si="32"/>
        <v>20.700000000000003</v>
      </c>
      <c r="HF30" s="255">
        <f t="shared" si="32"/>
        <v>26.6</v>
      </c>
      <c r="HG30" s="255">
        <f t="shared" si="32"/>
        <v>28</v>
      </c>
      <c r="HH30" s="255">
        <f t="shared" si="32"/>
        <v>32.200000000000003</v>
      </c>
      <c r="HI30" s="255">
        <f t="shared" si="32"/>
        <v>60.900000000000006</v>
      </c>
      <c r="HJ30" s="255">
        <f t="shared" si="32"/>
        <v>78.2</v>
      </c>
      <c r="HK30" s="255">
        <f t="shared" si="32"/>
        <v>0</v>
      </c>
      <c r="HL30" s="255">
        <f t="shared" si="32"/>
        <v>12.3</v>
      </c>
      <c r="HM30" s="255">
        <f t="shared" si="32"/>
        <v>12.3</v>
      </c>
      <c r="HN30" s="255">
        <f t="shared" si="32"/>
        <v>15.700000000000001</v>
      </c>
      <c r="HO30" s="255">
        <f t="shared" si="32"/>
        <v>9.2000000000000011</v>
      </c>
      <c r="HP30" s="255">
        <f t="shared" si="32"/>
        <v>8.2000000000000011</v>
      </c>
      <c r="HQ30" s="255">
        <f t="shared" si="32"/>
        <v>11.100000000000001</v>
      </c>
      <c r="HR30" s="255">
        <f t="shared" si="32"/>
        <v>11</v>
      </c>
      <c r="HS30" s="255">
        <f t="shared" si="32"/>
        <v>13.4</v>
      </c>
      <c r="HT30" s="255">
        <f t="shared" si="32"/>
        <v>15.3</v>
      </c>
      <c r="HU30" s="255">
        <f t="shared" si="32"/>
        <v>19.200000000000003</v>
      </c>
      <c r="HV30" s="255">
        <f t="shared" si="32"/>
        <v>8.9</v>
      </c>
      <c r="HW30" s="255">
        <f t="shared" si="32"/>
        <v>7.8000000000000007</v>
      </c>
      <c r="HX30" s="255">
        <f t="shared" si="32"/>
        <v>11.3</v>
      </c>
      <c r="HY30" s="255">
        <f t="shared" si="32"/>
        <v>21</v>
      </c>
      <c r="HZ30" s="255">
        <f t="shared" si="32"/>
        <v>14</v>
      </c>
      <c r="IA30" s="255">
        <f t="shared" si="32"/>
        <v>11.4</v>
      </c>
      <c r="IB30" s="255">
        <f t="shared" si="32"/>
        <v>19.700000000000003</v>
      </c>
      <c r="IC30" s="255">
        <f t="shared" si="32"/>
        <v>3.8000000000000003</v>
      </c>
      <c r="ID30" s="255">
        <f t="shared" si="32"/>
        <v>6.9</v>
      </c>
      <c r="IE30" s="255">
        <f t="shared" si="32"/>
        <v>13.5</v>
      </c>
      <c r="IF30" s="255">
        <f t="shared" si="32"/>
        <v>31.3</v>
      </c>
      <c r="IG30" s="255">
        <f t="shared" si="32"/>
        <v>21.400000000000002</v>
      </c>
      <c r="IH30" s="255">
        <f t="shared" si="32"/>
        <v>14.4</v>
      </c>
      <c r="II30" s="255">
        <f t="shared" si="32"/>
        <v>7</v>
      </c>
      <c r="IJ30" s="255">
        <f t="shared" si="32"/>
        <v>19.3</v>
      </c>
      <c r="IK30" s="255">
        <f t="shared" si="32"/>
        <v>4.7</v>
      </c>
      <c r="IL30" s="255">
        <f t="shared" si="32"/>
        <v>29.400000000000002</v>
      </c>
      <c r="IM30" s="255">
        <f t="shared" si="32"/>
        <v>4.7</v>
      </c>
      <c r="IN30" s="255">
        <f t="shared" si="32"/>
        <v>26.200000000000003</v>
      </c>
      <c r="IO30" s="255">
        <f t="shared" si="32"/>
        <v>25.700000000000003</v>
      </c>
      <c r="IP30" s="255">
        <f t="shared" si="32"/>
        <v>22.900000000000002</v>
      </c>
      <c r="IQ30" s="255">
        <f t="shared" si="32"/>
        <v>22.5</v>
      </c>
      <c r="IR30" s="255">
        <f t="shared" si="32"/>
        <v>11.200000000000001</v>
      </c>
      <c r="IS30" s="255">
        <f t="shared" si="32"/>
        <v>8.6</v>
      </c>
      <c r="IT30" s="255">
        <f t="shared" si="32"/>
        <v>4</v>
      </c>
      <c r="IU30" s="255">
        <f t="shared" si="32"/>
        <v>8.4</v>
      </c>
      <c r="IV30" s="255">
        <f t="shared" si="32"/>
        <v>14.100000000000001</v>
      </c>
      <c r="IW30" s="255">
        <f t="shared" si="32"/>
        <v>12.600000000000001</v>
      </c>
      <c r="IX30" s="255">
        <f t="shared" si="32"/>
        <v>38.6</v>
      </c>
      <c r="IY30" s="255">
        <f t="shared" si="32"/>
        <v>9.2000000000000011</v>
      </c>
      <c r="IZ30" s="255">
        <f t="shared" si="32"/>
        <v>83.9</v>
      </c>
      <c r="JA30" s="255">
        <f t="shared" si="32"/>
        <v>9.8000000000000007</v>
      </c>
      <c r="JB30" s="255">
        <f t="shared" si="32"/>
        <v>15.100000000000001</v>
      </c>
      <c r="JC30" s="255">
        <f t="shared" si="32"/>
        <v>43</v>
      </c>
      <c r="JD30" s="255">
        <f t="shared" si="32"/>
        <v>18.2</v>
      </c>
      <c r="JE30" s="255">
        <f t="shared" si="32"/>
        <v>543</v>
      </c>
      <c r="JF30" s="255">
        <f t="shared" si="32"/>
        <v>0.30000000000000004</v>
      </c>
      <c r="JG30" s="255">
        <f t="shared" si="32"/>
        <v>10.700000000000001</v>
      </c>
      <c r="JH30" s="255">
        <f t="shared" si="32"/>
        <v>37.6</v>
      </c>
      <c r="JI30" s="255">
        <f t="shared" ref="JI30:LT30" si="33">JI29*0.1</f>
        <v>14.8</v>
      </c>
      <c r="JJ30" s="255">
        <f t="shared" si="33"/>
        <v>39.700000000000003</v>
      </c>
      <c r="JK30" s="255">
        <f t="shared" si="33"/>
        <v>0.60000000000000009</v>
      </c>
      <c r="JL30" s="255">
        <f t="shared" si="33"/>
        <v>54.800000000000004</v>
      </c>
      <c r="JM30" s="255">
        <f t="shared" si="33"/>
        <v>2.5</v>
      </c>
      <c r="JN30" s="255">
        <f t="shared" si="33"/>
        <v>14.200000000000001</v>
      </c>
      <c r="JO30" s="255">
        <f t="shared" si="33"/>
        <v>27.1</v>
      </c>
      <c r="JP30" s="255">
        <f t="shared" si="33"/>
        <v>18.900000000000002</v>
      </c>
      <c r="JQ30" s="255">
        <f t="shared" si="33"/>
        <v>3.4000000000000004</v>
      </c>
      <c r="JR30" s="255">
        <f t="shared" si="33"/>
        <v>20.100000000000001</v>
      </c>
      <c r="JS30" s="255">
        <f t="shared" si="33"/>
        <v>18</v>
      </c>
      <c r="JT30" s="255">
        <f t="shared" si="33"/>
        <v>20</v>
      </c>
      <c r="JU30" s="255">
        <f t="shared" si="33"/>
        <v>10.5</v>
      </c>
      <c r="JV30" s="255">
        <f t="shared" si="33"/>
        <v>5.2</v>
      </c>
      <c r="JW30" s="255">
        <f t="shared" si="33"/>
        <v>9.3000000000000007</v>
      </c>
      <c r="JX30" s="255">
        <f t="shared" si="33"/>
        <v>5.5</v>
      </c>
      <c r="JY30" s="255">
        <f t="shared" si="33"/>
        <v>6.5</v>
      </c>
      <c r="JZ30" s="255">
        <f t="shared" si="33"/>
        <v>16.8</v>
      </c>
      <c r="KA30" s="255">
        <f t="shared" si="33"/>
        <v>10.8</v>
      </c>
      <c r="KB30" s="255">
        <f t="shared" si="33"/>
        <v>6.2</v>
      </c>
      <c r="KC30" s="255">
        <f t="shared" si="33"/>
        <v>47.5</v>
      </c>
      <c r="KD30" s="255">
        <f t="shared" si="33"/>
        <v>31.3</v>
      </c>
      <c r="KE30" s="255">
        <f t="shared" si="33"/>
        <v>28.400000000000002</v>
      </c>
      <c r="KF30" s="255">
        <f t="shared" si="33"/>
        <v>0.70000000000000007</v>
      </c>
      <c r="KG30" s="255">
        <f t="shared" si="33"/>
        <v>12.9</v>
      </c>
      <c r="KH30" s="255">
        <f t="shared" si="33"/>
        <v>31.1</v>
      </c>
      <c r="KI30" s="255">
        <f t="shared" si="33"/>
        <v>12.100000000000001</v>
      </c>
      <c r="KJ30" s="255">
        <f t="shared" si="33"/>
        <v>12.4</v>
      </c>
      <c r="KK30" s="255">
        <f t="shared" si="33"/>
        <v>231.60000000000002</v>
      </c>
      <c r="KL30" s="255">
        <f t="shared" si="33"/>
        <v>23.5</v>
      </c>
      <c r="KM30" s="255">
        <f t="shared" si="33"/>
        <v>10.100000000000001</v>
      </c>
      <c r="KN30" s="255">
        <f t="shared" si="33"/>
        <v>16.8</v>
      </c>
      <c r="KO30" s="255">
        <f t="shared" si="33"/>
        <v>14.600000000000001</v>
      </c>
      <c r="KP30" s="255">
        <f t="shared" si="33"/>
        <v>16.8</v>
      </c>
      <c r="KQ30" s="255">
        <f t="shared" si="33"/>
        <v>11.100000000000001</v>
      </c>
      <c r="KR30" s="255">
        <f t="shared" si="33"/>
        <v>21.3</v>
      </c>
      <c r="KS30" s="255">
        <f t="shared" si="33"/>
        <v>1.5</v>
      </c>
      <c r="KT30" s="255">
        <f t="shared" si="33"/>
        <v>255.20000000000002</v>
      </c>
      <c r="KU30" s="255">
        <f t="shared" si="33"/>
        <v>33.9</v>
      </c>
      <c r="KV30" s="255">
        <f t="shared" si="33"/>
        <v>3.9000000000000004</v>
      </c>
      <c r="KW30" s="255">
        <f t="shared" si="33"/>
        <v>6</v>
      </c>
      <c r="KX30" s="255">
        <f t="shared" si="33"/>
        <v>7.9</v>
      </c>
      <c r="KY30" s="255">
        <f t="shared" si="33"/>
        <v>5.3000000000000007</v>
      </c>
      <c r="KZ30" s="255">
        <f t="shared" si="33"/>
        <v>12.200000000000001</v>
      </c>
      <c r="LA30" s="255">
        <f t="shared" si="33"/>
        <v>18.400000000000002</v>
      </c>
      <c r="LB30" s="255">
        <f t="shared" si="33"/>
        <v>5.7</v>
      </c>
      <c r="LC30" s="255">
        <f t="shared" si="33"/>
        <v>30.700000000000003</v>
      </c>
      <c r="LD30" s="255">
        <f t="shared" si="33"/>
        <v>29.5</v>
      </c>
      <c r="LE30" s="255">
        <f t="shared" si="33"/>
        <v>23.200000000000003</v>
      </c>
      <c r="LF30" s="255">
        <f t="shared" si="33"/>
        <v>0</v>
      </c>
      <c r="LG30" s="255">
        <f t="shared" si="33"/>
        <v>41.300000000000004</v>
      </c>
      <c r="LH30" s="255">
        <f t="shared" si="33"/>
        <v>0.1</v>
      </c>
      <c r="LI30" s="255">
        <f t="shared" si="33"/>
        <v>9.3000000000000007</v>
      </c>
      <c r="LJ30" s="255">
        <f t="shared" si="33"/>
        <v>2</v>
      </c>
      <c r="LK30" s="255">
        <f t="shared" si="33"/>
        <v>15.100000000000001</v>
      </c>
      <c r="LL30" s="255">
        <f t="shared" si="33"/>
        <v>20.3</v>
      </c>
      <c r="LM30" s="255">
        <f t="shared" si="33"/>
        <v>6.6000000000000005</v>
      </c>
      <c r="LN30" s="255">
        <f t="shared" si="33"/>
        <v>0</v>
      </c>
      <c r="LO30" s="255">
        <f t="shared" si="33"/>
        <v>2.7</v>
      </c>
      <c r="LP30" s="255">
        <f t="shared" si="33"/>
        <v>10.8</v>
      </c>
      <c r="LQ30" s="255">
        <f t="shared" si="33"/>
        <v>20.200000000000003</v>
      </c>
      <c r="LR30" s="255">
        <f t="shared" si="33"/>
        <v>14.4</v>
      </c>
      <c r="LS30" s="255">
        <f t="shared" si="33"/>
        <v>10.8</v>
      </c>
      <c r="LT30" s="255">
        <f t="shared" si="33"/>
        <v>7.7</v>
      </c>
      <c r="LU30" s="255">
        <f t="shared" ref="LU30:NC30" si="34">LU29*0.1</f>
        <v>22.3</v>
      </c>
      <c r="LV30" s="255">
        <f t="shared" si="34"/>
        <v>11.3</v>
      </c>
      <c r="LW30" s="255">
        <f t="shared" si="34"/>
        <v>0</v>
      </c>
      <c r="LX30" s="255">
        <f t="shared" si="34"/>
        <v>7.2</v>
      </c>
      <c r="LY30" s="255">
        <f t="shared" si="34"/>
        <v>0</v>
      </c>
      <c r="LZ30" s="255">
        <f t="shared" si="34"/>
        <v>11.9</v>
      </c>
      <c r="MA30" s="255">
        <f t="shared" si="34"/>
        <v>2.5</v>
      </c>
      <c r="MB30" s="255">
        <f t="shared" si="34"/>
        <v>0</v>
      </c>
      <c r="MC30" s="255">
        <f t="shared" si="34"/>
        <v>76.7</v>
      </c>
      <c r="MD30" s="255">
        <f t="shared" si="34"/>
        <v>16.600000000000001</v>
      </c>
      <c r="ME30" s="255">
        <f t="shared" si="34"/>
        <v>23.8</v>
      </c>
      <c r="MF30" s="255">
        <f t="shared" si="34"/>
        <v>12.4</v>
      </c>
      <c r="MG30" s="255">
        <f t="shared" si="34"/>
        <v>12.4</v>
      </c>
      <c r="MH30" s="255">
        <f t="shared" si="34"/>
        <v>17.8</v>
      </c>
      <c r="MI30" s="255">
        <f t="shared" si="34"/>
        <v>16</v>
      </c>
      <c r="MJ30" s="255">
        <f t="shared" si="34"/>
        <v>11.700000000000001</v>
      </c>
      <c r="MK30" s="255">
        <f t="shared" si="34"/>
        <v>7.1000000000000005</v>
      </c>
      <c r="ML30" s="255">
        <f t="shared" si="34"/>
        <v>23</v>
      </c>
      <c r="MM30" s="255">
        <f t="shared" si="34"/>
        <v>11.700000000000001</v>
      </c>
      <c r="MN30" s="255">
        <f t="shared" si="34"/>
        <v>9.4</v>
      </c>
      <c r="MO30" s="255">
        <f t="shared" si="34"/>
        <v>0</v>
      </c>
      <c r="MP30" s="255">
        <f t="shared" si="34"/>
        <v>174.4</v>
      </c>
      <c r="MQ30" s="255">
        <f t="shared" si="34"/>
        <v>11.8</v>
      </c>
      <c r="MR30" s="255">
        <f t="shared" si="34"/>
        <v>3.7</v>
      </c>
      <c r="MS30" s="255">
        <f t="shared" si="34"/>
        <v>9.1</v>
      </c>
      <c r="MT30" s="255">
        <f t="shared" si="34"/>
        <v>29.3</v>
      </c>
      <c r="MU30" s="255">
        <f t="shared" si="34"/>
        <v>12.200000000000001</v>
      </c>
      <c r="MV30" s="255">
        <f t="shared" si="34"/>
        <v>58.5</v>
      </c>
      <c r="MW30" s="255">
        <f t="shared" si="34"/>
        <v>7.1000000000000005</v>
      </c>
      <c r="MX30" s="255">
        <f t="shared" si="34"/>
        <v>36.700000000000003</v>
      </c>
      <c r="MY30" s="255">
        <f t="shared" si="34"/>
        <v>28.3</v>
      </c>
      <c r="MZ30" s="255">
        <f t="shared" si="34"/>
        <v>10</v>
      </c>
      <c r="NA30" s="255">
        <f t="shared" si="34"/>
        <v>7.2</v>
      </c>
      <c r="NB30" s="255">
        <f t="shared" si="34"/>
        <v>7.7</v>
      </c>
      <c r="NC30" s="255">
        <f t="shared" si="34"/>
        <v>55.6</v>
      </c>
      <c r="ND30" s="255">
        <f t="shared" ref="ND30" si="35">ND29*0.1</f>
        <v>56</v>
      </c>
    </row>
    <row r="31" spans="1:368" s="255" customFormat="1" ht="14.4" x14ac:dyDescent="0.3">
      <c r="A31" s="254"/>
      <c r="B31" s="257"/>
      <c r="E31" s="255" t="s">
        <v>646</v>
      </c>
      <c r="K31" s="255">
        <f t="shared" si="6"/>
        <v>30</v>
      </c>
      <c r="M31" s="255">
        <f t="shared" ref="M31:BX31" si="36">SUM(M29:M30)</f>
        <v>107.8</v>
      </c>
      <c r="N31" s="255">
        <f t="shared" si="36"/>
        <v>112.2</v>
      </c>
      <c r="O31" s="255">
        <f t="shared" si="36"/>
        <v>139.69999999999999</v>
      </c>
      <c r="P31" s="255">
        <f t="shared" si="36"/>
        <v>105.6</v>
      </c>
      <c r="Q31" s="255">
        <f t="shared" si="36"/>
        <v>34.1</v>
      </c>
      <c r="R31" s="255">
        <f t="shared" si="36"/>
        <v>262.89999999999998</v>
      </c>
      <c r="S31" s="255">
        <f t="shared" si="36"/>
        <v>476.3</v>
      </c>
      <c r="T31" s="255">
        <f t="shared" si="36"/>
        <v>364.1</v>
      </c>
      <c r="U31" s="255">
        <f t="shared" si="36"/>
        <v>588.5</v>
      </c>
      <c r="V31" s="255">
        <f t="shared" si="36"/>
        <v>1039.5</v>
      </c>
      <c r="W31" s="255">
        <f t="shared" si="36"/>
        <v>102.3</v>
      </c>
      <c r="X31" s="255">
        <f t="shared" si="36"/>
        <v>0</v>
      </c>
      <c r="Y31" s="255">
        <f t="shared" si="36"/>
        <v>2.2000000000000002</v>
      </c>
      <c r="Z31" s="255">
        <f t="shared" si="36"/>
        <v>909.7</v>
      </c>
      <c r="AA31" s="255">
        <f t="shared" si="36"/>
        <v>1225.4000000000001</v>
      </c>
      <c r="AB31" s="255">
        <f t="shared" si="36"/>
        <v>16900.400000000001</v>
      </c>
      <c r="AC31" s="255">
        <f t="shared" si="36"/>
        <v>526.9</v>
      </c>
      <c r="AD31" s="255">
        <f t="shared" si="36"/>
        <v>30.8</v>
      </c>
      <c r="AE31" s="255">
        <f t="shared" si="36"/>
        <v>367.4</v>
      </c>
      <c r="AF31" s="255">
        <f t="shared" si="36"/>
        <v>239.8</v>
      </c>
      <c r="AG31" s="255">
        <f t="shared" si="36"/>
        <v>86.9</v>
      </c>
      <c r="AH31" s="255">
        <f t="shared" si="36"/>
        <v>118.8</v>
      </c>
      <c r="AI31" s="255">
        <f t="shared" si="36"/>
        <v>227.7</v>
      </c>
      <c r="AJ31" s="255">
        <f t="shared" si="36"/>
        <v>409.2</v>
      </c>
      <c r="AK31" s="255">
        <f t="shared" si="36"/>
        <v>636.9</v>
      </c>
      <c r="AL31" s="255">
        <f t="shared" si="36"/>
        <v>47.3</v>
      </c>
      <c r="AM31" s="255">
        <f t="shared" si="36"/>
        <v>0</v>
      </c>
      <c r="AN31" s="255">
        <f t="shared" si="36"/>
        <v>167.2</v>
      </c>
      <c r="AO31" s="255">
        <f t="shared" si="36"/>
        <v>50.6</v>
      </c>
      <c r="AP31" s="255">
        <f t="shared" si="36"/>
        <v>138.6</v>
      </c>
      <c r="AQ31" s="255">
        <f t="shared" si="36"/>
        <v>128.69999999999999</v>
      </c>
      <c r="AR31" s="255">
        <f t="shared" si="36"/>
        <v>94.6</v>
      </c>
      <c r="AS31" s="255">
        <f t="shared" si="36"/>
        <v>456.5</v>
      </c>
      <c r="AT31" s="255">
        <f t="shared" si="36"/>
        <v>193.6</v>
      </c>
      <c r="AU31" s="255">
        <f t="shared" si="36"/>
        <v>704</v>
      </c>
      <c r="AV31" s="255">
        <f t="shared" si="36"/>
        <v>292.60000000000002</v>
      </c>
      <c r="AW31" s="255">
        <f t="shared" si="36"/>
        <v>91.3</v>
      </c>
      <c r="AX31" s="255">
        <f t="shared" si="36"/>
        <v>72.599999999999994</v>
      </c>
      <c r="AY31" s="255">
        <f t="shared" si="36"/>
        <v>133.1</v>
      </c>
      <c r="AZ31" s="255">
        <f t="shared" si="36"/>
        <v>211.2</v>
      </c>
      <c r="BA31" s="255">
        <f t="shared" si="36"/>
        <v>94.6</v>
      </c>
      <c r="BB31" s="255">
        <f t="shared" si="36"/>
        <v>77</v>
      </c>
      <c r="BC31" s="255">
        <f t="shared" si="36"/>
        <v>371.8</v>
      </c>
      <c r="BD31" s="255">
        <f t="shared" si="36"/>
        <v>330</v>
      </c>
      <c r="BE31" s="255">
        <f t="shared" si="36"/>
        <v>127.6</v>
      </c>
      <c r="BF31" s="255">
        <f t="shared" si="36"/>
        <v>128.69999999999999</v>
      </c>
      <c r="BG31" s="255">
        <f t="shared" si="36"/>
        <v>50.6</v>
      </c>
      <c r="BH31" s="255">
        <f t="shared" si="36"/>
        <v>213.4</v>
      </c>
      <c r="BI31" s="255">
        <f t="shared" si="36"/>
        <v>165</v>
      </c>
      <c r="BJ31" s="255">
        <f t="shared" si="36"/>
        <v>126.5</v>
      </c>
      <c r="BK31" s="255">
        <f t="shared" si="36"/>
        <v>456.5</v>
      </c>
      <c r="BL31" s="255">
        <f t="shared" si="36"/>
        <v>147.4</v>
      </c>
      <c r="BM31" s="255">
        <f t="shared" si="36"/>
        <v>344.3</v>
      </c>
      <c r="BN31" s="255">
        <f t="shared" si="36"/>
        <v>117.7</v>
      </c>
      <c r="BO31" s="255">
        <f t="shared" si="36"/>
        <v>69.3</v>
      </c>
      <c r="BP31" s="255">
        <f t="shared" si="36"/>
        <v>122.1</v>
      </c>
      <c r="BQ31" s="255">
        <f t="shared" si="36"/>
        <v>218.9</v>
      </c>
      <c r="BR31" s="255">
        <f t="shared" si="36"/>
        <v>281.60000000000002</v>
      </c>
      <c r="BS31" s="255">
        <f t="shared" si="36"/>
        <v>451</v>
      </c>
      <c r="BT31" s="255">
        <f t="shared" si="36"/>
        <v>349.8</v>
      </c>
      <c r="BU31" s="255">
        <f t="shared" si="36"/>
        <v>211.2</v>
      </c>
      <c r="BV31" s="255">
        <f t="shared" si="36"/>
        <v>72.599999999999994</v>
      </c>
      <c r="BW31" s="255">
        <f t="shared" si="36"/>
        <v>84.7</v>
      </c>
      <c r="BX31" s="255">
        <f t="shared" si="36"/>
        <v>67.099999999999994</v>
      </c>
      <c r="BY31" s="255">
        <f t="shared" ref="BY31:EJ31" si="37">SUM(BY29:BY30)</f>
        <v>200.2</v>
      </c>
      <c r="BZ31" s="255">
        <f t="shared" si="37"/>
        <v>62.7</v>
      </c>
      <c r="CA31" s="255">
        <f t="shared" si="37"/>
        <v>1001</v>
      </c>
      <c r="CB31" s="255">
        <f t="shared" si="37"/>
        <v>103.4</v>
      </c>
      <c r="CC31" s="255">
        <f t="shared" si="37"/>
        <v>249.7</v>
      </c>
      <c r="CD31" s="255">
        <f t="shared" si="37"/>
        <v>277.2</v>
      </c>
      <c r="CE31" s="255">
        <f t="shared" si="37"/>
        <v>511.5</v>
      </c>
      <c r="CF31" s="255">
        <f t="shared" si="37"/>
        <v>292.60000000000002</v>
      </c>
      <c r="CG31" s="255">
        <f t="shared" si="37"/>
        <v>28.6</v>
      </c>
      <c r="CH31" s="255">
        <f t="shared" si="37"/>
        <v>183.7</v>
      </c>
      <c r="CI31" s="255">
        <f t="shared" si="37"/>
        <v>75.900000000000006</v>
      </c>
      <c r="CJ31" s="255">
        <f t="shared" si="37"/>
        <v>994.4</v>
      </c>
      <c r="CK31" s="255">
        <f t="shared" si="37"/>
        <v>93.5</v>
      </c>
      <c r="CL31" s="255">
        <f t="shared" si="37"/>
        <v>146.30000000000001</v>
      </c>
      <c r="CM31" s="255">
        <f t="shared" si="37"/>
        <v>180.4</v>
      </c>
      <c r="CN31" s="255">
        <f t="shared" si="37"/>
        <v>42.9</v>
      </c>
      <c r="CO31" s="255">
        <f t="shared" si="37"/>
        <v>60.5</v>
      </c>
      <c r="CP31" s="255">
        <f t="shared" si="37"/>
        <v>100.1</v>
      </c>
      <c r="CQ31" s="255">
        <f t="shared" si="37"/>
        <v>148.5</v>
      </c>
      <c r="CR31" s="255">
        <f t="shared" si="37"/>
        <v>773.3</v>
      </c>
      <c r="CS31" s="255">
        <f t="shared" si="37"/>
        <v>51.7</v>
      </c>
      <c r="CT31" s="255">
        <f t="shared" si="37"/>
        <v>187</v>
      </c>
      <c r="CU31" s="255">
        <f t="shared" si="37"/>
        <v>96.8</v>
      </c>
      <c r="CV31" s="255">
        <f t="shared" si="37"/>
        <v>1135.2</v>
      </c>
      <c r="CW31" s="255">
        <f t="shared" si="37"/>
        <v>92.4</v>
      </c>
      <c r="CX31" s="255">
        <f t="shared" si="37"/>
        <v>221.1</v>
      </c>
      <c r="CY31" s="255">
        <f t="shared" si="37"/>
        <v>139.69999999999999</v>
      </c>
      <c r="CZ31" s="255">
        <f t="shared" si="37"/>
        <v>575.29999999999995</v>
      </c>
      <c r="DA31" s="255">
        <f t="shared" si="37"/>
        <v>215.6</v>
      </c>
      <c r="DB31" s="255">
        <f t="shared" si="37"/>
        <v>180.4</v>
      </c>
      <c r="DC31" s="255">
        <f t="shared" si="37"/>
        <v>196.9</v>
      </c>
      <c r="DD31" s="255">
        <f t="shared" si="37"/>
        <v>243.1</v>
      </c>
      <c r="DE31" s="255">
        <f t="shared" si="37"/>
        <v>44</v>
      </c>
      <c r="DF31" s="255">
        <f t="shared" si="37"/>
        <v>91.3</v>
      </c>
      <c r="DG31" s="255">
        <f t="shared" si="37"/>
        <v>270.60000000000002</v>
      </c>
      <c r="DH31" s="255">
        <f t="shared" si="37"/>
        <v>96.8</v>
      </c>
      <c r="DI31" s="255">
        <f t="shared" si="37"/>
        <v>74.8</v>
      </c>
      <c r="DJ31" s="255">
        <f t="shared" si="37"/>
        <v>330</v>
      </c>
      <c r="DK31" s="255">
        <f t="shared" si="37"/>
        <v>116.6</v>
      </c>
      <c r="DL31" s="255">
        <f t="shared" si="37"/>
        <v>73.7</v>
      </c>
      <c r="DM31" s="255">
        <f t="shared" si="37"/>
        <v>287.10000000000002</v>
      </c>
      <c r="DN31" s="255">
        <f t="shared" si="37"/>
        <v>75.900000000000006</v>
      </c>
      <c r="DO31" s="255">
        <f t="shared" si="37"/>
        <v>455.4</v>
      </c>
      <c r="DP31" s="255">
        <f t="shared" si="37"/>
        <v>40.700000000000003</v>
      </c>
      <c r="DQ31" s="255">
        <f t="shared" si="37"/>
        <v>4621.1000000000004</v>
      </c>
      <c r="DR31" s="255">
        <f t="shared" si="37"/>
        <v>810.7</v>
      </c>
      <c r="DS31" s="255">
        <f t="shared" si="37"/>
        <v>83.6</v>
      </c>
      <c r="DT31" s="255">
        <f t="shared" si="37"/>
        <v>190.3</v>
      </c>
      <c r="DU31" s="255">
        <f t="shared" si="37"/>
        <v>132</v>
      </c>
      <c r="DV31" s="255">
        <f t="shared" si="37"/>
        <v>3008.5</v>
      </c>
      <c r="DW31" s="255">
        <f t="shared" si="37"/>
        <v>1001</v>
      </c>
      <c r="DX31" s="255">
        <f t="shared" si="37"/>
        <v>247.5</v>
      </c>
      <c r="DY31" s="255">
        <f t="shared" si="37"/>
        <v>420.2</v>
      </c>
      <c r="DZ31" s="255">
        <f t="shared" si="37"/>
        <v>155.1</v>
      </c>
      <c r="EA31" s="255">
        <f t="shared" si="37"/>
        <v>36.299999999999997</v>
      </c>
      <c r="EB31" s="255">
        <f t="shared" si="37"/>
        <v>35.200000000000003</v>
      </c>
      <c r="EC31" s="255">
        <f t="shared" si="37"/>
        <v>27.5</v>
      </c>
      <c r="ED31" s="255">
        <f t="shared" si="37"/>
        <v>90.2</v>
      </c>
      <c r="EE31" s="255">
        <f t="shared" si="37"/>
        <v>268.39999999999998</v>
      </c>
      <c r="EF31" s="255">
        <f t="shared" si="37"/>
        <v>102.3</v>
      </c>
      <c r="EG31" s="255">
        <f t="shared" si="37"/>
        <v>176</v>
      </c>
      <c r="EH31" s="255">
        <f t="shared" si="37"/>
        <v>260.7</v>
      </c>
      <c r="EI31" s="255">
        <f t="shared" si="37"/>
        <v>239.8</v>
      </c>
      <c r="EJ31" s="255">
        <f t="shared" si="37"/>
        <v>101.2</v>
      </c>
      <c r="EK31" s="255">
        <f t="shared" ref="EK31:GV31" si="38">SUM(EK29:EK30)</f>
        <v>260.7</v>
      </c>
      <c r="EL31" s="255">
        <f t="shared" si="38"/>
        <v>212.3</v>
      </c>
      <c r="EM31" s="255">
        <f t="shared" si="38"/>
        <v>144.1</v>
      </c>
      <c r="EN31" s="255">
        <f t="shared" si="38"/>
        <v>291.5</v>
      </c>
      <c r="EO31" s="255">
        <f t="shared" si="38"/>
        <v>264</v>
      </c>
      <c r="EP31" s="255">
        <f t="shared" si="38"/>
        <v>47.3</v>
      </c>
      <c r="EQ31" s="255">
        <f t="shared" si="38"/>
        <v>210.1</v>
      </c>
      <c r="ER31" s="255">
        <f t="shared" si="38"/>
        <v>535.70000000000005</v>
      </c>
      <c r="ES31" s="255">
        <f t="shared" si="38"/>
        <v>69.3</v>
      </c>
      <c r="ET31" s="255">
        <f t="shared" si="38"/>
        <v>211.2</v>
      </c>
      <c r="EU31" s="255">
        <f t="shared" si="38"/>
        <v>107.8</v>
      </c>
      <c r="EV31" s="255">
        <f t="shared" si="38"/>
        <v>111.1</v>
      </c>
      <c r="EW31" s="255">
        <f t="shared" si="38"/>
        <v>348.7</v>
      </c>
      <c r="EX31" s="255">
        <f t="shared" si="38"/>
        <v>0</v>
      </c>
      <c r="EY31" s="255">
        <f t="shared" si="38"/>
        <v>162.80000000000001</v>
      </c>
      <c r="EZ31" s="255">
        <f t="shared" si="38"/>
        <v>0</v>
      </c>
      <c r="FA31" s="255">
        <f t="shared" si="38"/>
        <v>488.4</v>
      </c>
      <c r="FB31" s="255">
        <f t="shared" si="38"/>
        <v>191.4</v>
      </c>
      <c r="FC31" s="255">
        <f t="shared" si="38"/>
        <v>122.1</v>
      </c>
      <c r="FD31" s="255">
        <f t="shared" si="38"/>
        <v>965.8</v>
      </c>
      <c r="FE31" s="255">
        <f t="shared" si="38"/>
        <v>227.7</v>
      </c>
      <c r="FF31" s="255">
        <f t="shared" si="38"/>
        <v>200.2</v>
      </c>
      <c r="FG31" s="255">
        <f t="shared" si="38"/>
        <v>292.60000000000002</v>
      </c>
      <c r="FH31" s="255">
        <f t="shared" si="38"/>
        <v>169.4</v>
      </c>
      <c r="FI31" s="255">
        <f t="shared" si="38"/>
        <v>169.4</v>
      </c>
      <c r="FJ31" s="255">
        <f t="shared" si="38"/>
        <v>277.2</v>
      </c>
      <c r="FK31" s="255">
        <f t="shared" si="38"/>
        <v>46.2</v>
      </c>
      <c r="FL31" s="255">
        <f t="shared" si="38"/>
        <v>350.9</v>
      </c>
      <c r="FM31" s="255">
        <f t="shared" si="38"/>
        <v>95.7</v>
      </c>
      <c r="FN31" s="255">
        <f t="shared" si="38"/>
        <v>88</v>
      </c>
      <c r="FO31" s="255">
        <f t="shared" si="38"/>
        <v>161.69999999999999</v>
      </c>
      <c r="FP31" s="255">
        <f t="shared" si="38"/>
        <v>390.5</v>
      </c>
      <c r="FQ31" s="255">
        <f t="shared" si="38"/>
        <v>180.4</v>
      </c>
      <c r="FR31" s="255">
        <f t="shared" si="38"/>
        <v>83.6</v>
      </c>
      <c r="FS31" s="255">
        <f t="shared" si="38"/>
        <v>67.099999999999994</v>
      </c>
      <c r="FT31" s="255">
        <f t="shared" si="38"/>
        <v>163.9</v>
      </c>
      <c r="FU31" s="255">
        <f t="shared" si="38"/>
        <v>108.9</v>
      </c>
      <c r="FV31" s="255">
        <f t="shared" si="38"/>
        <v>482.9</v>
      </c>
      <c r="FW31" s="255">
        <f t="shared" si="38"/>
        <v>47.3</v>
      </c>
      <c r="FX31" s="255">
        <f t="shared" si="38"/>
        <v>278.3</v>
      </c>
      <c r="FY31" s="255">
        <f t="shared" si="38"/>
        <v>598.4</v>
      </c>
      <c r="FZ31" s="255">
        <f t="shared" si="38"/>
        <v>191.4</v>
      </c>
      <c r="GA31" s="255">
        <f t="shared" si="38"/>
        <v>562.1</v>
      </c>
      <c r="GB31" s="255">
        <f t="shared" si="38"/>
        <v>210.1</v>
      </c>
      <c r="GC31" s="255">
        <f t="shared" si="38"/>
        <v>312.39999999999998</v>
      </c>
      <c r="GD31" s="255">
        <f t="shared" si="38"/>
        <v>201.3</v>
      </c>
      <c r="GE31" s="255">
        <f t="shared" si="38"/>
        <v>141.9</v>
      </c>
      <c r="GF31" s="255">
        <f t="shared" si="38"/>
        <v>72.599999999999994</v>
      </c>
      <c r="GG31" s="255">
        <f t="shared" si="38"/>
        <v>308</v>
      </c>
      <c r="GH31" s="255">
        <f t="shared" si="38"/>
        <v>92.4</v>
      </c>
      <c r="GI31" s="255">
        <f t="shared" si="38"/>
        <v>124.3</v>
      </c>
      <c r="GJ31" s="255">
        <f t="shared" si="38"/>
        <v>72.599999999999994</v>
      </c>
      <c r="GK31" s="255">
        <f t="shared" si="38"/>
        <v>143</v>
      </c>
      <c r="GL31" s="255">
        <f t="shared" si="38"/>
        <v>163.9</v>
      </c>
      <c r="GM31" s="255">
        <f t="shared" si="38"/>
        <v>77</v>
      </c>
      <c r="GN31" s="255">
        <f t="shared" si="38"/>
        <v>151.80000000000001</v>
      </c>
      <c r="GO31" s="255">
        <f t="shared" si="38"/>
        <v>488.4</v>
      </c>
      <c r="GP31" s="255">
        <f t="shared" si="38"/>
        <v>161.69999999999999</v>
      </c>
      <c r="GQ31" s="255">
        <f t="shared" si="38"/>
        <v>103.4</v>
      </c>
      <c r="GR31" s="255">
        <f t="shared" si="38"/>
        <v>464.2</v>
      </c>
      <c r="GS31" s="255">
        <f t="shared" si="38"/>
        <v>52.8</v>
      </c>
      <c r="GT31" s="255">
        <f t="shared" si="38"/>
        <v>113.3</v>
      </c>
      <c r="GU31" s="255">
        <f t="shared" si="38"/>
        <v>174.9</v>
      </c>
      <c r="GV31" s="255">
        <f t="shared" si="38"/>
        <v>183.7</v>
      </c>
      <c r="GW31" s="255">
        <f t="shared" ref="GW31:JH31" si="39">SUM(GW29:GW30)</f>
        <v>0</v>
      </c>
      <c r="GX31" s="255">
        <f t="shared" si="39"/>
        <v>101.2</v>
      </c>
      <c r="GY31" s="255">
        <f t="shared" si="39"/>
        <v>225.5</v>
      </c>
      <c r="GZ31" s="255">
        <f t="shared" si="39"/>
        <v>0</v>
      </c>
      <c r="HA31" s="255">
        <f t="shared" si="39"/>
        <v>234.3</v>
      </c>
      <c r="HB31" s="255">
        <f t="shared" si="39"/>
        <v>116.6</v>
      </c>
      <c r="HC31" s="255">
        <f t="shared" si="39"/>
        <v>18.7</v>
      </c>
      <c r="HD31" s="255">
        <f t="shared" si="39"/>
        <v>189.2</v>
      </c>
      <c r="HE31" s="255">
        <f t="shared" si="39"/>
        <v>227.7</v>
      </c>
      <c r="HF31" s="255">
        <f t="shared" si="39"/>
        <v>292.60000000000002</v>
      </c>
      <c r="HG31" s="255">
        <f t="shared" si="39"/>
        <v>308</v>
      </c>
      <c r="HH31" s="255">
        <f t="shared" si="39"/>
        <v>354.2</v>
      </c>
      <c r="HI31" s="255">
        <f t="shared" si="39"/>
        <v>669.9</v>
      </c>
      <c r="HJ31" s="255">
        <f t="shared" si="39"/>
        <v>860.2</v>
      </c>
      <c r="HK31" s="255">
        <f t="shared" si="39"/>
        <v>0</v>
      </c>
      <c r="HL31" s="255">
        <f t="shared" si="39"/>
        <v>135.30000000000001</v>
      </c>
      <c r="HM31" s="255">
        <f t="shared" si="39"/>
        <v>135.30000000000001</v>
      </c>
      <c r="HN31" s="255">
        <f t="shared" si="39"/>
        <v>172.7</v>
      </c>
      <c r="HO31" s="255">
        <f t="shared" si="39"/>
        <v>101.2</v>
      </c>
      <c r="HP31" s="255">
        <f t="shared" si="39"/>
        <v>90.2</v>
      </c>
      <c r="HQ31" s="255">
        <f t="shared" si="39"/>
        <v>122.1</v>
      </c>
      <c r="HR31" s="255">
        <f t="shared" si="39"/>
        <v>121</v>
      </c>
      <c r="HS31" s="255">
        <f t="shared" si="39"/>
        <v>147.4</v>
      </c>
      <c r="HT31" s="255">
        <f t="shared" si="39"/>
        <v>168.3</v>
      </c>
      <c r="HU31" s="255">
        <f t="shared" si="39"/>
        <v>211.2</v>
      </c>
      <c r="HV31" s="255">
        <f t="shared" si="39"/>
        <v>97.9</v>
      </c>
      <c r="HW31" s="255">
        <f t="shared" si="39"/>
        <v>85.8</v>
      </c>
      <c r="HX31" s="255">
        <f t="shared" si="39"/>
        <v>124.3</v>
      </c>
      <c r="HY31" s="255">
        <f t="shared" si="39"/>
        <v>231</v>
      </c>
      <c r="HZ31" s="255">
        <f t="shared" si="39"/>
        <v>154</v>
      </c>
      <c r="IA31" s="255">
        <f t="shared" si="39"/>
        <v>125.4</v>
      </c>
      <c r="IB31" s="255">
        <f t="shared" si="39"/>
        <v>216.7</v>
      </c>
      <c r="IC31" s="255">
        <f t="shared" si="39"/>
        <v>41.8</v>
      </c>
      <c r="ID31" s="255">
        <f t="shared" si="39"/>
        <v>75.900000000000006</v>
      </c>
      <c r="IE31" s="255">
        <f t="shared" si="39"/>
        <v>148.5</v>
      </c>
      <c r="IF31" s="255">
        <f t="shared" si="39"/>
        <v>344.3</v>
      </c>
      <c r="IG31" s="255">
        <f t="shared" si="39"/>
        <v>235.4</v>
      </c>
      <c r="IH31" s="255">
        <f t="shared" si="39"/>
        <v>158.4</v>
      </c>
      <c r="II31" s="255">
        <f t="shared" si="39"/>
        <v>77</v>
      </c>
      <c r="IJ31" s="255">
        <f t="shared" si="39"/>
        <v>212.3</v>
      </c>
      <c r="IK31" s="255">
        <f t="shared" si="39"/>
        <v>51.7</v>
      </c>
      <c r="IL31" s="255">
        <f t="shared" si="39"/>
        <v>323.39999999999998</v>
      </c>
      <c r="IM31" s="255">
        <f t="shared" si="39"/>
        <v>51.7</v>
      </c>
      <c r="IN31" s="255">
        <f t="shared" si="39"/>
        <v>288.2</v>
      </c>
      <c r="IO31" s="255">
        <f t="shared" si="39"/>
        <v>282.7</v>
      </c>
      <c r="IP31" s="255">
        <f t="shared" si="39"/>
        <v>251.9</v>
      </c>
      <c r="IQ31" s="255">
        <f t="shared" si="39"/>
        <v>247.5</v>
      </c>
      <c r="IR31" s="255">
        <f t="shared" si="39"/>
        <v>123.2</v>
      </c>
      <c r="IS31" s="255">
        <f t="shared" si="39"/>
        <v>94.6</v>
      </c>
      <c r="IT31" s="255">
        <f t="shared" si="39"/>
        <v>44</v>
      </c>
      <c r="IU31" s="255">
        <f t="shared" si="39"/>
        <v>92.4</v>
      </c>
      <c r="IV31" s="255">
        <f t="shared" si="39"/>
        <v>155.1</v>
      </c>
      <c r="IW31" s="255">
        <f t="shared" si="39"/>
        <v>138.6</v>
      </c>
      <c r="IX31" s="255">
        <f t="shared" si="39"/>
        <v>424.6</v>
      </c>
      <c r="IY31" s="255">
        <f t="shared" si="39"/>
        <v>101.2</v>
      </c>
      <c r="IZ31" s="255">
        <f t="shared" si="39"/>
        <v>922.9</v>
      </c>
      <c r="JA31" s="255">
        <f t="shared" si="39"/>
        <v>107.8</v>
      </c>
      <c r="JB31" s="255">
        <f t="shared" si="39"/>
        <v>166.1</v>
      </c>
      <c r="JC31" s="255">
        <f t="shared" si="39"/>
        <v>473</v>
      </c>
      <c r="JD31" s="255">
        <f t="shared" si="39"/>
        <v>200.2</v>
      </c>
      <c r="JE31" s="255">
        <f t="shared" si="39"/>
        <v>5973</v>
      </c>
      <c r="JF31" s="255">
        <f t="shared" si="39"/>
        <v>3.3</v>
      </c>
      <c r="JG31" s="255">
        <f t="shared" si="39"/>
        <v>117.7</v>
      </c>
      <c r="JH31" s="255">
        <f t="shared" si="39"/>
        <v>413.6</v>
      </c>
      <c r="JI31" s="255">
        <f t="shared" ref="JI31:LT31" si="40">SUM(JI29:JI30)</f>
        <v>162.80000000000001</v>
      </c>
      <c r="JJ31" s="255">
        <f t="shared" si="40"/>
        <v>436.7</v>
      </c>
      <c r="JK31" s="255">
        <f t="shared" si="40"/>
        <v>6.6</v>
      </c>
      <c r="JL31" s="255">
        <f t="shared" si="40"/>
        <v>602.79999999999995</v>
      </c>
      <c r="JM31" s="255">
        <f t="shared" si="40"/>
        <v>27.5</v>
      </c>
      <c r="JN31" s="255">
        <f t="shared" si="40"/>
        <v>156.19999999999999</v>
      </c>
      <c r="JO31" s="255">
        <f t="shared" si="40"/>
        <v>298.10000000000002</v>
      </c>
      <c r="JP31" s="255">
        <f t="shared" si="40"/>
        <v>207.9</v>
      </c>
      <c r="JQ31" s="255">
        <f t="shared" si="40"/>
        <v>37.4</v>
      </c>
      <c r="JR31" s="255">
        <f t="shared" si="40"/>
        <v>221.1</v>
      </c>
      <c r="JS31" s="255">
        <f t="shared" si="40"/>
        <v>198</v>
      </c>
      <c r="JT31" s="255">
        <f t="shared" si="40"/>
        <v>220</v>
      </c>
      <c r="JU31" s="255">
        <f t="shared" si="40"/>
        <v>115.5</v>
      </c>
      <c r="JV31" s="255">
        <f t="shared" si="40"/>
        <v>57.2</v>
      </c>
      <c r="JW31" s="255">
        <f t="shared" si="40"/>
        <v>102.3</v>
      </c>
      <c r="JX31" s="255">
        <f t="shared" si="40"/>
        <v>60.5</v>
      </c>
      <c r="JY31" s="255">
        <f t="shared" si="40"/>
        <v>71.5</v>
      </c>
      <c r="JZ31" s="255">
        <f t="shared" si="40"/>
        <v>184.8</v>
      </c>
      <c r="KA31" s="255">
        <f t="shared" si="40"/>
        <v>118.8</v>
      </c>
      <c r="KB31" s="255">
        <f t="shared" si="40"/>
        <v>68.2</v>
      </c>
      <c r="KC31" s="255">
        <f t="shared" si="40"/>
        <v>522.5</v>
      </c>
      <c r="KD31" s="255">
        <f t="shared" si="40"/>
        <v>344.3</v>
      </c>
      <c r="KE31" s="255">
        <f t="shared" si="40"/>
        <v>312.39999999999998</v>
      </c>
      <c r="KF31" s="255">
        <f t="shared" si="40"/>
        <v>7.7</v>
      </c>
      <c r="KG31" s="255">
        <f t="shared" si="40"/>
        <v>141.9</v>
      </c>
      <c r="KH31" s="255">
        <f t="shared" si="40"/>
        <v>342.1</v>
      </c>
      <c r="KI31" s="255">
        <f t="shared" si="40"/>
        <v>133.1</v>
      </c>
      <c r="KJ31" s="255">
        <f t="shared" si="40"/>
        <v>136.4</v>
      </c>
      <c r="KK31" s="255">
        <f t="shared" si="40"/>
        <v>2547.6</v>
      </c>
      <c r="KL31" s="255">
        <f t="shared" si="40"/>
        <v>258.5</v>
      </c>
      <c r="KM31" s="255">
        <f t="shared" si="40"/>
        <v>111.1</v>
      </c>
      <c r="KN31" s="255">
        <f t="shared" si="40"/>
        <v>184.8</v>
      </c>
      <c r="KO31" s="255">
        <f t="shared" si="40"/>
        <v>160.6</v>
      </c>
      <c r="KP31" s="255">
        <f t="shared" si="40"/>
        <v>184.8</v>
      </c>
      <c r="KQ31" s="255">
        <f t="shared" si="40"/>
        <v>122.1</v>
      </c>
      <c r="KR31" s="255">
        <f t="shared" si="40"/>
        <v>234.3</v>
      </c>
      <c r="KS31" s="255">
        <f t="shared" si="40"/>
        <v>16.5</v>
      </c>
      <c r="KT31" s="255">
        <f t="shared" si="40"/>
        <v>2807.2</v>
      </c>
      <c r="KU31" s="255">
        <f t="shared" si="40"/>
        <v>372.9</v>
      </c>
      <c r="KV31" s="255">
        <f t="shared" si="40"/>
        <v>42.9</v>
      </c>
      <c r="KW31" s="255">
        <f t="shared" si="40"/>
        <v>66</v>
      </c>
      <c r="KX31" s="255">
        <f t="shared" si="40"/>
        <v>86.9</v>
      </c>
      <c r="KY31" s="255">
        <f t="shared" si="40"/>
        <v>58.3</v>
      </c>
      <c r="KZ31" s="255">
        <f t="shared" si="40"/>
        <v>134.19999999999999</v>
      </c>
      <c r="LA31" s="255">
        <f t="shared" si="40"/>
        <v>202.4</v>
      </c>
      <c r="LB31" s="255">
        <f t="shared" si="40"/>
        <v>62.7</v>
      </c>
      <c r="LC31" s="255">
        <f t="shared" si="40"/>
        <v>337.7</v>
      </c>
      <c r="LD31" s="255">
        <f t="shared" si="40"/>
        <v>324.5</v>
      </c>
      <c r="LE31" s="255">
        <f t="shared" si="40"/>
        <v>255.2</v>
      </c>
      <c r="LF31" s="255">
        <f t="shared" si="40"/>
        <v>0</v>
      </c>
      <c r="LG31" s="255">
        <f t="shared" si="40"/>
        <v>454.3</v>
      </c>
      <c r="LH31" s="255">
        <f t="shared" si="40"/>
        <v>1.1000000000000001</v>
      </c>
      <c r="LI31" s="255">
        <f t="shared" si="40"/>
        <v>102.3</v>
      </c>
      <c r="LJ31" s="255">
        <f t="shared" si="40"/>
        <v>22</v>
      </c>
      <c r="LK31" s="255">
        <f t="shared" si="40"/>
        <v>166.1</v>
      </c>
      <c r="LL31" s="255">
        <f t="shared" si="40"/>
        <v>223.3</v>
      </c>
      <c r="LM31" s="255">
        <f t="shared" si="40"/>
        <v>72.599999999999994</v>
      </c>
      <c r="LN31" s="255">
        <f t="shared" si="40"/>
        <v>0</v>
      </c>
      <c r="LO31" s="255">
        <f t="shared" si="40"/>
        <v>29.7</v>
      </c>
      <c r="LP31" s="255">
        <f t="shared" si="40"/>
        <v>118.8</v>
      </c>
      <c r="LQ31" s="255">
        <f t="shared" si="40"/>
        <v>222.2</v>
      </c>
      <c r="LR31" s="255">
        <f t="shared" si="40"/>
        <v>158.4</v>
      </c>
      <c r="LS31" s="255">
        <f t="shared" si="40"/>
        <v>118.8</v>
      </c>
      <c r="LT31" s="255">
        <f t="shared" si="40"/>
        <v>84.7</v>
      </c>
      <c r="LU31" s="255">
        <f t="shared" ref="LU31:NC31" si="41">SUM(LU29:LU30)</f>
        <v>245.3</v>
      </c>
      <c r="LV31" s="255">
        <f t="shared" si="41"/>
        <v>124.3</v>
      </c>
      <c r="LW31" s="255">
        <f t="shared" si="41"/>
        <v>0</v>
      </c>
      <c r="LX31" s="255">
        <f t="shared" si="41"/>
        <v>79.2</v>
      </c>
      <c r="LY31" s="255">
        <f t="shared" si="41"/>
        <v>0</v>
      </c>
      <c r="LZ31" s="255">
        <f t="shared" si="41"/>
        <v>130.9</v>
      </c>
      <c r="MA31" s="255">
        <f t="shared" si="41"/>
        <v>27.5</v>
      </c>
      <c r="MB31" s="255">
        <f t="shared" si="41"/>
        <v>0</v>
      </c>
      <c r="MC31" s="255">
        <f t="shared" si="41"/>
        <v>843.7</v>
      </c>
      <c r="MD31" s="255">
        <f t="shared" si="41"/>
        <v>182.6</v>
      </c>
      <c r="ME31" s="255">
        <f t="shared" si="41"/>
        <v>261.8</v>
      </c>
      <c r="MF31" s="255">
        <f t="shared" si="41"/>
        <v>136.4</v>
      </c>
      <c r="MG31" s="255">
        <f t="shared" si="41"/>
        <v>136.4</v>
      </c>
      <c r="MH31" s="255">
        <f t="shared" si="41"/>
        <v>195.8</v>
      </c>
      <c r="MI31" s="255">
        <f t="shared" si="41"/>
        <v>176</v>
      </c>
      <c r="MJ31" s="255">
        <f t="shared" si="41"/>
        <v>128.69999999999999</v>
      </c>
      <c r="MK31" s="255">
        <f t="shared" si="41"/>
        <v>78.099999999999994</v>
      </c>
      <c r="ML31" s="255">
        <f t="shared" si="41"/>
        <v>253</v>
      </c>
      <c r="MM31" s="255">
        <f t="shared" si="41"/>
        <v>128.69999999999999</v>
      </c>
      <c r="MN31" s="255">
        <f t="shared" si="41"/>
        <v>103.4</v>
      </c>
      <c r="MO31" s="255">
        <f t="shared" si="41"/>
        <v>0</v>
      </c>
      <c r="MP31" s="255">
        <f t="shared" si="41"/>
        <v>1918.4</v>
      </c>
      <c r="MQ31" s="255">
        <f t="shared" si="41"/>
        <v>129.80000000000001</v>
      </c>
      <c r="MR31" s="255">
        <f t="shared" si="41"/>
        <v>40.700000000000003</v>
      </c>
      <c r="MS31" s="255">
        <f t="shared" si="41"/>
        <v>100.1</v>
      </c>
      <c r="MT31" s="255">
        <f t="shared" si="41"/>
        <v>322.3</v>
      </c>
      <c r="MU31" s="255">
        <f t="shared" si="41"/>
        <v>134.19999999999999</v>
      </c>
      <c r="MV31" s="255">
        <f t="shared" si="41"/>
        <v>643.5</v>
      </c>
      <c r="MW31" s="255">
        <f t="shared" si="41"/>
        <v>78.099999999999994</v>
      </c>
      <c r="MX31" s="255">
        <f t="shared" si="41"/>
        <v>403.7</v>
      </c>
      <c r="MY31" s="255">
        <f t="shared" si="41"/>
        <v>311.3</v>
      </c>
      <c r="MZ31" s="255">
        <f t="shared" si="41"/>
        <v>110</v>
      </c>
      <c r="NA31" s="255">
        <f t="shared" si="41"/>
        <v>79.2</v>
      </c>
      <c r="NB31" s="255">
        <f t="shared" si="41"/>
        <v>84.7</v>
      </c>
      <c r="NC31" s="255">
        <f t="shared" si="41"/>
        <v>611.6</v>
      </c>
      <c r="ND31" s="255">
        <f t="shared" ref="ND31" si="42">SUM(ND29:ND30)</f>
        <v>616</v>
      </c>
    </row>
    <row r="32" spans="1:368" s="255" customFormat="1" ht="14.4" x14ac:dyDescent="0.3">
      <c r="A32" s="254"/>
      <c r="B32" s="257"/>
      <c r="K32" s="255">
        <f t="shared" si="6"/>
        <v>31</v>
      </c>
    </row>
    <row r="33" spans="1:368" s="255" customFormat="1" ht="14.4" x14ac:dyDescent="0.3">
      <c r="A33" s="254"/>
      <c r="B33" s="257"/>
      <c r="D33" s="254" t="s">
        <v>409</v>
      </c>
      <c r="K33" s="255">
        <f t="shared" si="6"/>
        <v>32</v>
      </c>
    </row>
    <row r="34" spans="1:368" s="255" customFormat="1" ht="14.4" x14ac:dyDescent="0.3">
      <c r="A34" s="254"/>
      <c r="B34" s="257"/>
      <c r="D34" s="254"/>
      <c r="E34" s="255" t="s">
        <v>635</v>
      </c>
      <c r="F34" s="255" t="s">
        <v>407</v>
      </c>
      <c r="G34" s="255" t="s">
        <v>9</v>
      </c>
      <c r="H34" s="255" t="s">
        <v>636</v>
      </c>
      <c r="K34" s="255">
        <f t="shared" si="6"/>
        <v>33</v>
      </c>
      <c r="M34" s="262"/>
      <c r="N34" s="262">
        <v>0.60370550274096169</v>
      </c>
      <c r="O34" s="262"/>
      <c r="P34" s="262"/>
      <c r="Q34" s="262">
        <v>0.7038098012798425</v>
      </c>
      <c r="R34" s="262"/>
      <c r="S34" s="262"/>
      <c r="T34" s="262">
        <v>0.72632116415624204</v>
      </c>
      <c r="U34" s="262">
        <v>0.69717091891482463</v>
      </c>
      <c r="V34" s="262"/>
      <c r="W34" s="262"/>
      <c r="X34" s="262">
        <v>0.94865733163605503</v>
      </c>
      <c r="Y34" s="262"/>
      <c r="Z34" s="262">
        <v>0.59616292203350285</v>
      </c>
      <c r="AA34" s="262">
        <v>0.75908215762396247</v>
      </c>
      <c r="AB34" s="262">
        <v>0.39226839003246017</v>
      </c>
      <c r="AC34" s="262"/>
      <c r="AD34" s="262"/>
      <c r="AE34" s="262"/>
      <c r="AF34" s="262">
        <v>0.83244089808905375</v>
      </c>
      <c r="AG34" s="262"/>
      <c r="AH34" s="262"/>
      <c r="AI34" s="262"/>
      <c r="AJ34" s="262"/>
      <c r="AK34" s="262">
        <v>0.89138536515444711</v>
      </c>
      <c r="AL34" s="262"/>
      <c r="AM34" s="262"/>
      <c r="AN34" s="262"/>
      <c r="AO34" s="262"/>
      <c r="AP34" s="262">
        <v>0.95885334952183476</v>
      </c>
      <c r="AQ34" s="262"/>
      <c r="AR34" s="262"/>
      <c r="AS34" s="262"/>
      <c r="AT34" s="262"/>
      <c r="AU34" s="262"/>
      <c r="AV34" s="262"/>
      <c r="AW34" s="262"/>
      <c r="AX34" s="262">
        <v>0.97877612031984274</v>
      </c>
      <c r="AY34" s="262">
        <v>0.5132122446670061</v>
      </c>
      <c r="AZ34" s="262"/>
      <c r="BA34" s="262"/>
      <c r="BB34" s="262"/>
      <c r="BC34" s="262">
        <v>0.84070796460176989</v>
      </c>
      <c r="BD34" s="262"/>
      <c r="BE34" s="262"/>
      <c r="BF34" s="262"/>
      <c r="BG34" s="262"/>
      <c r="BH34" s="262"/>
      <c r="BI34" s="262"/>
      <c r="BJ34" s="262"/>
      <c r="BK34" s="262">
        <v>0.912147462521261</v>
      </c>
      <c r="BL34" s="262"/>
      <c r="BM34" s="262"/>
      <c r="BN34" s="262"/>
      <c r="BO34" s="262"/>
      <c r="BP34" s="262"/>
      <c r="BQ34" s="262"/>
      <c r="BR34" s="262"/>
      <c r="BS34" s="262"/>
      <c r="BT34" s="262"/>
      <c r="BU34" s="262">
        <v>0.79584652876702655</v>
      </c>
      <c r="BV34" s="262"/>
      <c r="BW34" s="262"/>
      <c r="BX34" s="262"/>
      <c r="BY34" s="262"/>
      <c r="BZ34" s="262"/>
      <c r="CA34" s="262">
        <v>0.60533724219654372</v>
      </c>
      <c r="CB34" s="262"/>
      <c r="CC34" s="262"/>
      <c r="CD34" s="262"/>
      <c r="CE34" s="262">
        <v>0.56716514324472722</v>
      </c>
      <c r="CF34" s="262"/>
      <c r="CG34" s="262"/>
      <c r="CH34" s="262"/>
      <c r="CI34" s="262"/>
      <c r="CJ34" s="262">
        <v>0.68035138042309062</v>
      </c>
      <c r="CK34" s="262">
        <v>0.79652378746086661</v>
      </c>
      <c r="CL34" s="262"/>
      <c r="CM34" s="262"/>
      <c r="CN34" s="262">
        <v>0.97949675474783393</v>
      </c>
      <c r="CO34" s="262">
        <v>0.89663622187569614</v>
      </c>
      <c r="CP34" s="262"/>
      <c r="CQ34" s="262"/>
      <c r="CR34" s="262">
        <v>0.9204386270153555</v>
      </c>
      <c r="CS34" s="262"/>
      <c r="CT34" s="262"/>
      <c r="CU34" s="262"/>
      <c r="CV34" s="262"/>
      <c r="CW34" s="262"/>
      <c r="CX34" s="262">
        <v>0.89746950608336284</v>
      </c>
      <c r="CY34" s="262">
        <v>0.66645801498610013</v>
      </c>
      <c r="CZ34" s="262">
        <v>0.88702656679007741</v>
      </c>
      <c r="DA34" s="262"/>
      <c r="DB34" s="262"/>
      <c r="DC34" s="262"/>
      <c r="DD34" s="262"/>
      <c r="DE34" s="262"/>
      <c r="DF34" s="262"/>
      <c r="DG34" s="262"/>
      <c r="DH34" s="262"/>
      <c r="DI34" s="262">
        <v>0.96460684596181967</v>
      </c>
      <c r="DJ34" s="262"/>
      <c r="DK34" s="262"/>
      <c r="DL34" s="262"/>
      <c r="DM34" s="262"/>
      <c r="DN34" s="262"/>
      <c r="DO34" s="262"/>
      <c r="DP34" s="262"/>
      <c r="DQ34" s="262"/>
      <c r="DR34" s="262"/>
      <c r="DS34" s="262"/>
      <c r="DT34" s="262"/>
      <c r="DU34" s="262"/>
      <c r="DV34" s="262">
        <v>0.57842543286247261</v>
      </c>
      <c r="DW34" s="262"/>
      <c r="DX34" s="262"/>
      <c r="DY34" s="262"/>
      <c r="DZ34" s="262"/>
      <c r="EA34" s="262"/>
      <c r="EB34" s="262"/>
      <c r="EC34" s="262"/>
      <c r="ED34" s="262">
        <v>0.6071143954212852</v>
      </c>
      <c r="EE34" s="262">
        <v>0.79563242214596186</v>
      </c>
      <c r="EF34" s="262"/>
      <c r="EG34" s="262"/>
      <c r="EH34" s="262">
        <v>0.69481103779244147</v>
      </c>
      <c r="EI34" s="262"/>
      <c r="EJ34" s="262"/>
      <c r="EK34" s="262"/>
      <c r="EL34" s="262">
        <v>0.63326158803770072</v>
      </c>
      <c r="EM34" s="262"/>
      <c r="EN34" s="262"/>
      <c r="EO34" s="262"/>
      <c r="EP34" s="262">
        <v>0.64403538980621489</v>
      </c>
      <c r="EQ34" s="262"/>
      <c r="ER34" s="262"/>
      <c r="ES34" s="262">
        <v>0.96872471845183827</v>
      </c>
      <c r="ET34" s="262"/>
      <c r="EU34" s="262">
        <v>0.77123226023186087</v>
      </c>
      <c r="EV34" s="262"/>
      <c r="EW34" s="262"/>
      <c r="EX34" s="262"/>
      <c r="EY34" s="262"/>
      <c r="EZ34" s="262"/>
      <c r="FA34" s="262">
        <v>0.77277901626903189</v>
      </c>
      <c r="FB34" s="262">
        <v>0.83569484817094786</v>
      </c>
      <c r="FC34" s="262">
        <v>0.70276866941150362</v>
      </c>
      <c r="FD34" s="262"/>
      <c r="FE34" s="262"/>
      <c r="FF34" s="262"/>
      <c r="FG34" s="262"/>
      <c r="FH34" s="262"/>
      <c r="FI34" s="262"/>
      <c r="FJ34" s="262"/>
      <c r="FK34" s="262"/>
      <c r="FL34" s="262">
        <v>0.79673824966909523</v>
      </c>
      <c r="FM34" s="262"/>
      <c r="FN34" s="262">
        <v>0.77596130332870106</v>
      </c>
      <c r="FO34" s="262"/>
      <c r="FP34" s="262"/>
      <c r="FQ34" s="262"/>
      <c r="FR34" s="262"/>
      <c r="FS34" s="262"/>
      <c r="FT34" s="262"/>
      <c r="FU34" s="262">
        <v>0.66347733703071998</v>
      </c>
      <c r="FV34" s="262">
        <v>0.65349976949120692</v>
      </c>
      <c r="FW34" s="262"/>
      <c r="FX34" s="262"/>
      <c r="FY34" s="262">
        <v>0.48423759000408872</v>
      </c>
      <c r="FZ34" s="262"/>
      <c r="GA34" s="262"/>
      <c r="GB34" s="262">
        <v>0.61123310924596164</v>
      </c>
      <c r="GC34" s="262"/>
      <c r="GD34" s="262">
        <v>0.9558857353144119</v>
      </c>
      <c r="GE34" s="262"/>
      <c r="GF34" s="262">
        <v>0.94715042738513389</v>
      </c>
      <c r="GG34" s="262"/>
      <c r="GH34" s="262"/>
      <c r="GI34" s="262"/>
      <c r="GJ34" s="262"/>
      <c r="GK34" s="262"/>
      <c r="GL34" s="262"/>
      <c r="GM34" s="262"/>
      <c r="GN34" s="262">
        <v>0.41886674252400369</v>
      </c>
      <c r="GO34" s="262"/>
      <c r="GP34" s="262">
        <v>0.76776904168337379</v>
      </c>
      <c r="GQ34" s="262"/>
      <c r="GR34" s="262"/>
      <c r="GS34" s="262">
        <v>0.85853326816414144</v>
      </c>
      <c r="GT34" s="262"/>
      <c r="GU34" s="262">
        <v>0.8422528628184156</v>
      </c>
      <c r="GV34" s="262"/>
      <c r="GW34" s="262"/>
      <c r="GX34" s="262"/>
      <c r="GY34" s="262"/>
      <c r="GZ34" s="262"/>
      <c r="HA34" s="262"/>
      <c r="HB34" s="262"/>
      <c r="HC34" s="262"/>
      <c r="HD34" s="262"/>
      <c r="HE34" s="262"/>
      <c r="HF34" s="262"/>
      <c r="HG34" s="262"/>
      <c r="HH34" s="262"/>
      <c r="HI34" s="262"/>
      <c r="HJ34" s="262"/>
      <c r="HK34" s="262"/>
      <c r="HL34" s="262"/>
      <c r="HM34" s="262"/>
      <c r="HN34" s="262">
        <v>0.85034013605442171</v>
      </c>
      <c r="HO34" s="262"/>
      <c r="HP34" s="262"/>
      <c r="HQ34" s="262"/>
      <c r="HR34" s="262"/>
      <c r="HS34" s="262"/>
      <c r="HT34" s="262"/>
      <c r="HU34" s="262"/>
      <c r="HV34" s="262"/>
      <c r="HW34" s="262">
        <v>0.88826465731584647</v>
      </c>
      <c r="HX34" s="262"/>
      <c r="HY34" s="262"/>
      <c r="HZ34" s="262"/>
      <c r="IA34" s="262"/>
      <c r="IB34" s="262"/>
      <c r="IC34" s="262"/>
      <c r="ID34" s="262">
        <v>0.85978580639183388</v>
      </c>
      <c r="IE34" s="262"/>
      <c r="IF34" s="262"/>
      <c r="IG34" s="262"/>
      <c r="IH34" s="262"/>
      <c r="II34" s="262"/>
      <c r="IJ34" s="262"/>
      <c r="IK34" s="262">
        <v>0.71433353417687617</v>
      </c>
      <c r="IL34" s="262"/>
      <c r="IM34" s="262"/>
      <c r="IN34" s="262">
        <v>0.70783555198903336</v>
      </c>
      <c r="IO34" s="262"/>
      <c r="IP34" s="262"/>
      <c r="IQ34" s="262"/>
      <c r="IR34" s="262"/>
      <c r="IS34" s="262">
        <v>0.92399623762011018</v>
      </c>
      <c r="IT34" s="262"/>
      <c r="IU34" s="262"/>
      <c r="IV34" s="262">
        <v>0.85726412843780875</v>
      </c>
      <c r="IW34" s="262"/>
      <c r="IX34" s="262"/>
      <c r="IY34" s="262"/>
      <c r="IZ34" s="262"/>
      <c r="JA34" s="262"/>
      <c r="JB34" s="262"/>
      <c r="JC34" s="262">
        <v>0.80418743334711729</v>
      </c>
      <c r="JD34" s="262">
        <v>0.68644120352665139</v>
      </c>
      <c r="JE34" s="262">
        <v>0.36867074241094394</v>
      </c>
      <c r="JF34" s="262"/>
      <c r="JG34" s="262"/>
      <c r="JH34" s="262">
        <v>0.71315486943668915</v>
      </c>
      <c r="JI34" s="262"/>
      <c r="JJ34" s="262">
        <v>0.59854226909659591</v>
      </c>
      <c r="JK34" s="262"/>
      <c r="JL34" s="262"/>
      <c r="JM34" s="262"/>
      <c r="JN34" s="262"/>
      <c r="JO34" s="262"/>
      <c r="JP34" s="262"/>
      <c r="JQ34" s="262"/>
      <c r="JR34" s="262"/>
      <c r="JS34" s="262"/>
      <c r="JT34" s="262"/>
      <c r="JU34" s="262"/>
      <c r="JV34" s="262"/>
      <c r="JW34" s="262"/>
      <c r="JX34" s="262"/>
      <c r="JY34" s="262">
        <v>0.78814627994955855</v>
      </c>
      <c r="JZ34" s="262"/>
      <c r="KA34" s="262"/>
      <c r="KB34" s="262"/>
      <c r="KC34" s="262"/>
      <c r="KD34" s="262"/>
      <c r="KE34" s="262"/>
      <c r="KF34" s="262"/>
      <c r="KG34" s="262"/>
      <c r="KH34" s="262">
        <v>0.77770647687663153</v>
      </c>
      <c r="KI34" s="262"/>
      <c r="KJ34" s="262"/>
      <c r="KK34" s="262"/>
      <c r="KL34" s="262"/>
      <c r="KM34" s="262"/>
      <c r="KN34" s="262"/>
      <c r="KO34" s="262"/>
      <c r="KP34" s="262">
        <v>0.92183712701640996</v>
      </c>
      <c r="KQ34" s="262"/>
      <c r="KR34" s="262"/>
      <c r="KS34" s="262"/>
      <c r="KT34" s="262"/>
      <c r="KU34" s="262">
        <v>0.88119474389325225</v>
      </c>
      <c r="KV34" s="262">
        <v>0.8929460881535215</v>
      </c>
      <c r="KW34" s="262"/>
      <c r="KX34" s="262"/>
      <c r="KY34" s="262"/>
      <c r="KZ34" s="262">
        <v>0.89367885686606929</v>
      </c>
      <c r="LA34" s="262"/>
      <c r="LB34" s="262"/>
      <c r="LC34" s="262">
        <v>0.72651790347690703</v>
      </c>
      <c r="LD34" s="262"/>
      <c r="LE34" s="262"/>
      <c r="LF34" s="262"/>
      <c r="LG34" s="262"/>
      <c r="LH34" s="262"/>
      <c r="LI34" s="262"/>
      <c r="LJ34" s="262"/>
      <c r="LK34" s="262"/>
      <c r="LL34" s="262"/>
      <c r="LM34" s="262"/>
      <c r="LN34" s="262"/>
      <c r="LO34" s="262"/>
      <c r="LP34" s="262"/>
      <c r="LQ34" s="262"/>
      <c r="LR34" s="262">
        <v>0.87635098003297307</v>
      </c>
      <c r="LS34" s="262">
        <v>0.71279973721668677</v>
      </c>
      <c r="LT34" s="262"/>
      <c r="LU34" s="262"/>
      <c r="LV34" s="262"/>
      <c r="LW34" s="262"/>
      <c r="LX34" s="262"/>
      <c r="LY34" s="262"/>
      <c r="LZ34" s="262"/>
      <c r="MA34" s="262">
        <v>0.89714055668004877</v>
      </c>
      <c r="MB34" s="262"/>
      <c r="MC34" s="262"/>
      <c r="MD34" s="262"/>
      <c r="ME34" s="262"/>
      <c r="MF34" s="262"/>
      <c r="MG34" s="262">
        <v>0.91681450375393914</v>
      </c>
      <c r="MH34" s="262"/>
      <c r="MI34" s="262">
        <v>0.79950471980721349</v>
      </c>
      <c r="MJ34" s="262"/>
      <c r="MK34" s="262"/>
      <c r="ML34" s="262">
        <v>0.87306873252767092</v>
      </c>
      <c r="MM34" s="262"/>
      <c r="MN34" s="262">
        <v>0.47033884965317491</v>
      </c>
      <c r="MO34" s="262"/>
      <c r="MP34" s="262">
        <v>0.53329673028853786</v>
      </c>
      <c r="MQ34" s="262"/>
      <c r="MR34" s="262"/>
      <c r="MS34" s="262">
        <v>0.76159607698250087</v>
      </c>
      <c r="MT34" s="262"/>
      <c r="MU34" s="262"/>
      <c r="MV34" s="262">
        <v>0.58127580508875221</v>
      </c>
      <c r="MW34" s="262"/>
      <c r="MX34" s="262"/>
      <c r="MY34" s="262"/>
      <c r="MZ34" s="262"/>
      <c r="NA34" s="262"/>
      <c r="NB34" s="262">
        <v>0.77401612348772997</v>
      </c>
      <c r="NC34" s="262">
        <v>0.63197931110246763</v>
      </c>
      <c r="ND34" s="262">
        <v>0.65</v>
      </c>
    </row>
    <row r="35" spans="1:368" s="255" customFormat="1" ht="14.4" x14ac:dyDescent="0.3">
      <c r="A35" s="254"/>
      <c r="B35" s="257"/>
      <c r="D35" s="254"/>
      <c r="E35" s="255" t="s">
        <v>637</v>
      </c>
      <c r="F35" s="255" t="s">
        <v>407</v>
      </c>
      <c r="G35" s="255" t="s">
        <v>9</v>
      </c>
      <c r="H35" s="255" t="s">
        <v>636</v>
      </c>
      <c r="K35" s="255">
        <f t="shared" si="6"/>
        <v>34</v>
      </c>
      <c r="M35" s="262"/>
      <c r="N35" s="262">
        <v>0.42285811663671252</v>
      </c>
      <c r="O35" s="262"/>
      <c r="P35" s="262"/>
      <c r="Q35" s="262">
        <v>0.4534607100778219</v>
      </c>
      <c r="R35" s="262"/>
      <c r="S35" s="262"/>
      <c r="T35" s="262">
        <v>0.61449249303245523</v>
      </c>
      <c r="U35" s="262">
        <v>0.70435554240922871</v>
      </c>
      <c r="V35" s="262"/>
      <c r="W35" s="262"/>
      <c r="X35" s="262">
        <v>0.69546458472443362</v>
      </c>
      <c r="Y35" s="262"/>
      <c r="Z35" s="262">
        <v>0.40575548550204438</v>
      </c>
      <c r="AA35" s="262">
        <v>0.51384819755063416</v>
      </c>
      <c r="AB35" s="262">
        <v>0.3991428931557498</v>
      </c>
      <c r="AC35" s="262"/>
      <c r="AD35" s="262"/>
      <c r="AE35" s="262"/>
      <c r="AF35" s="262">
        <v>0.70135047663881367</v>
      </c>
      <c r="AG35" s="262"/>
      <c r="AH35" s="262"/>
      <c r="AI35" s="262"/>
      <c r="AJ35" s="262"/>
      <c r="AK35" s="262">
        <v>0.77780523034818305</v>
      </c>
      <c r="AL35" s="262"/>
      <c r="AM35" s="262"/>
      <c r="AN35" s="262"/>
      <c r="AO35" s="262"/>
      <c r="AP35" s="262">
        <v>0.92114606888701989</v>
      </c>
      <c r="AQ35" s="262"/>
      <c r="AR35" s="262"/>
      <c r="AS35" s="262"/>
      <c r="AT35" s="262"/>
      <c r="AU35" s="262"/>
      <c r="AV35" s="262"/>
      <c r="AW35" s="262"/>
      <c r="AX35" s="262">
        <v>0.9429287228477824</v>
      </c>
      <c r="AY35" s="262">
        <v>0.12986287077060663</v>
      </c>
      <c r="AZ35" s="262"/>
      <c r="BA35" s="262"/>
      <c r="BB35" s="262"/>
      <c r="BC35" s="262">
        <v>0.56337655464408576</v>
      </c>
      <c r="BD35" s="262"/>
      <c r="BE35" s="262"/>
      <c r="BF35" s="262"/>
      <c r="BG35" s="262"/>
      <c r="BH35" s="262"/>
      <c r="BI35" s="262"/>
      <c r="BJ35" s="262"/>
      <c r="BK35" s="262">
        <v>0.53382774784859721</v>
      </c>
      <c r="BL35" s="262"/>
      <c r="BM35" s="262"/>
      <c r="BN35" s="262"/>
      <c r="BO35" s="262"/>
      <c r="BP35" s="262"/>
      <c r="BQ35" s="262"/>
      <c r="BR35" s="262"/>
      <c r="BS35" s="262"/>
      <c r="BT35" s="262"/>
      <c r="BU35" s="262">
        <v>0.91610181381869549</v>
      </c>
      <c r="BV35" s="262"/>
      <c r="BW35" s="262"/>
      <c r="BX35" s="262"/>
      <c r="BY35" s="262"/>
      <c r="BZ35" s="262"/>
      <c r="CA35" s="262">
        <v>0.2096666708579045</v>
      </c>
      <c r="CB35" s="262"/>
      <c r="CC35" s="262"/>
      <c r="CD35" s="262"/>
      <c r="CE35" s="262">
        <v>0.44296937199643166</v>
      </c>
      <c r="CF35" s="262"/>
      <c r="CG35" s="262"/>
      <c r="CH35" s="262"/>
      <c r="CI35" s="262"/>
      <c r="CJ35" s="262">
        <v>0.22034930079823031</v>
      </c>
      <c r="CK35" s="262">
        <v>0.68886004959328873</v>
      </c>
      <c r="CL35" s="262"/>
      <c r="CM35" s="262"/>
      <c r="CN35" s="262">
        <v>0.92623395724265933</v>
      </c>
      <c r="CO35" s="262">
        <v>0.81961902293637423</v>
      </c>
      <c r="CP35" s="262"/>
      <c r="CQ35" s="262"/>
      <c r="CR35" s="262">
        <v>0.72316337407250253</v>
      </c>
      <c r="CS35" s="262"/>
      <c r="CT35" s="262"/>
      <c r="CU35" s="262"/>
      <c r="CV35" s="262"/>
      <c r="CW35" s="262"/>
      <c r="CX35" s="262">
        <v>0.55947762457579087</v>
      </c>
      <c r="CY35" s="262">
        <v>0.47577908308152728</v>
      </c>
      <c r="CZ35" s="262">
        <v>0.82147203555743686</v>
      </c>
      <c r="DA35" s="262"/>
      <c r="DB35" s="262"/>
      <c r="DC35" s="262"/>
      <c r="DD35" s="262"/>
      <c r="DE35" s="262"/>
      <c r="DF35" s="262"/>
      <c r="DG35" s="262"/>
      <c r="DH35" s="262"/>
      <c r="DI35" s="262">
        <v>0.87490958236570604</v>
      </c>
      <c r="DJ35" s="262"/>
      <c r="DK35" s="262"/>
      <c r="DL35" s="262"/>
      <c r="DM35" s="262"/>
      <c r="DN35" s="262"/>
      <c r="DO35" s="262"/>
      <c r="DP35" s="262"/>
      <c r="DQ35" s="262"/>
      <c r="DR35" s="262"/>
      <c r="DS35" s="262"/>
      <c r="DT35" s="262"/>
      <c r="DU35" s="262"/>
      <c r="DV35" s="262">
        <v>0.31623340903000136</v>
      </c>
      <c r="DW35" s="262"/>
      <c r="DX35" s="262"/>
      <c r="DY35" s="262"/>
      <c r="DZ35" s="262"/>
      <c r="EA35" s="262"/>
      <c r="EB35" s="262"/>
      <c r="EC35" s="262"/>
      <c r="ED35" s="262">
        <v>0.18059348969217459</v>
      </c>
      <c r="EE35" s="262">
        <v>0.4448257864519905</v>
      </c>
      <c r="EF35" s="262"/>
      <c r="EG35" s="262"/>
      <c r="EH35" s="262">
        <v>0.56589753617520533</v>
      </c>
      <c r="EI35" s="262"/>
      <c r="EJ35" s="262"/>
      <c r="EK35" s="262"/>
      <c r="EL35" s="262">
        <v>0.40437261038637778</v>
      </c>
      <c r="EM35" s="262"/>
      <c r="EN35" s="262"/>
      <c r="EO35" s="262"/>
      <c r="EP35" s="262">
        <v>0.20740749011813572</v>
      </c>
      <c r="EQ35" s="262"/>
      <c r="ER35" s="262"/>
      <c r="ES35" s="262">
        <v>0.90443585568264306</v>
      </c>
      <c r="ET35" s="262"/>
      <c r="EU35" s="262">
        <v>0.35770216400911159</v>
      </c>
      <c r="EV35" s="262"/>
      <c r="EW35" s="262"/>
      <c r="EX35" s="262"/>
      <c r="EY35" s="262"/>
      <c r="EZ35" s="262"/>
      <c r="FA35" s="262">
        <v>0.67303782025213499</v>
      </c>
      <c r="FB35" s="262">
        <v>0.91736240902688904</v>
      </c>
      <c r="FC35" s="262">
        <v>0.59896419725287098</v>
      </c>
      <c r="FD35" s="262"/>
      <c r="FE35" s="262"/>
      <c r="FF35" s="262"/>
      <c r="FG35" s="262"/>
      <c r="FH35" s="262"/>
      <c r="FI35" s="262"/>
      <c r="FJ35" s="262"/>
      <c r="FK35" s="262"/>
      <c r="FL35" s="262">
        <v>0.36904463818260458</v>
      </c>
      <c r="FM35" s="262"/>
      <c r="FN35" s="262">
        <v>0.6875946040353299</v>
      </c>
      <c r="FO35" s="262"/>
      <c r="FP35" s="262"/>
      <c r="FQ35" s="262"/>
      <c r="FR35" s="262"/>
      <c r="FS35" s="262"/>
      <c r="FT35" s="262"/>
      <c r="FU35" s="262">
        <v>0.48965663097597956</v>
      </c>
      <c r="FV35" s="262">
        <v>0.45701980020338578</v>
      </c>
      <c r="FW35" s="262"/>
      <c r="FX35" s="262"/>
      <c r="FY35" s="262">
        <v>0</v>
      </c>
      <c r="FZ35" s="262"/>
      <c r="GA35" s="262"/>
      <c r="GB35" s="262">
        <v>0.24742792317020695</v>
      </c>
      <c r="GC35" s="262"/>
      <c r="GD35" s="262">
        <v>0.89304207893185483</v>
      </c>
      <c r="GE35" s="262"/>
      <c r="GF35" s="262">
        <v>0.9292857946761568</v>
      </c>
      <c r="GG35" s="262"/>
      <c r="GH35" s="262"/>
      <c r="GI35" s="262"/>
      <c r="GJ35" s="262"/>
      <c r="GK35" s="262"/>
      <c r="GL35" s="262"/>
      <c r="GM35" s="262"/>
      <c r="GN35" s="262">
        <v>8.2119766968333396E-2</v>
      </c>
      <c r="GO35" s="262"/>
      <c r="GP35" s="262">
        <v>0.66695770741942362</v>
      </c>
      <c r="GQ35" s="262"/>
      <c r="GR35" s="262"/>
      <c r="GS35" s="262">
        <v>0.74633879920234725</v>
      </c>
      <c r="GT35" s="262"/>
      <c r="GU35" s="262">
        <v>0.7097130920931376</v>
      </c>
      <c r="GV35" s="262"/>
      <c r="GW35" s="262"/>
      <c r="GX35" s="262"/>
      <c r="GY35" s="262"/>
      <c r="GZ35" s="262"/>
      <c r="HA35" s="262"/>
      <c r="HB35" s="262"/>
      <c r="HC35" s="262"/>
      <c r="HD35" s="262"/>
      <c r="HE35" s="262"/>
      <c r="HF35" s="262"/>
      <c r="HG35" s="262"/>
      <c r="HH35" s="262"/>
      <c r="HI35" s="262"/>
      <c r="HJ35" s="262"/>
      <c r="HK35" s="262"/>
      <c r="HL35" s="262"/>
      <c r="HM35" s="262"/>
      <c r="HN35" s="262">
        <v>0.64872952025900121</v>
      </c>
      <c r="HO35" s="262"/>
      <c r="HP35" s="262"/>
      <c r="HQ35" s="262"/>
      <c r="HR35" s="262"/>
      <c r="HS35" s="262"/>
      <c r="HT35" s="262"/>
      <c r="HU35" s="262"/>
      <c r="HV35" s="262"/>
      <c r="HW35" s="262">
        <v>0.84244159833323384</v>
      </c>
      <c r="HX35" s="262"/>
      <c r="HY35" s="262"/>
      <c r="HZ35" s="262"/>
      <c r="IA35" s="262"/>
      <c r="IB35" s="262"/>
      <c r="IC35" s="262"/>
      <c r="ID35" s="262">
        <v>0.66980463057488648</v>
      </c>
      <c r="IE35" s="262"/>
      <c r="IF35" s="262"/>
      <c r="IG35" s="262"/>
      <c r="IH35" s="262"/>
      <c r="II35" s="262"/>
      <c r="IJ35" s="262"/>
      <c r="IK35" s="262">
        <v>0.1603264528290162</v>
      </c>
      <c r="IL35" s="262"/>
      <c r="IM35" s="262"/>
      <c r="IN35" s="262">
        <v>0.24717184772615222</v>
      </c>
      <c r="IO35" s="262"/>
      <c r="IP35" s="262"/>
      <c r="IQ35" s="262"/>
      <c r="IR35" s="262"/>
      <c r="IS35" s="262">
        <v>0.7996694375577269</v>
      </c>
      <c r="IT35" s="262"/>
      <c r="IU35" s="262"/>
      <c r="IV35" s="262">
        <v>0.53496987009316554</v>
      </c>
      <c r="IW35" s="262"/>
      <c r="IX35" s="262"/>
      <c r="IY35" s="262"/>
      <c r="IZ35" s="262"/>
      <c r="JA35" s="262"/>
      <c r="JB35" s="262"/>
      <c r="JC35" s="262">
        <v>0.4864498043418975</v>
      </c>
      <c r="JD35" s="262">
        <v>0.43753201213506165</v>
      </c>
      <c r="JE35" s="262">
        <v>0.30315937163330242</v>
      </c>
      <c r="JF35" s="262"/>
      <c r="JG35" s="262"/>
      <c r="JH35" s="262">
        <v>0.63947487924699664</v>
      </c>
      <c r="JI35" s="262"/>
      <c r="JJ35" s="262">
        <v>0.44119172729109374</v>
      </c>
      <c r="JK35" s="262"/>
      <c r="JL35" s="262"/>
      <c r="JM35" s="262"/>
      <c r="JN35" s="262"/>
      <c r="JO35" s="262"/>
      <c r="JP35" s="262"/>
      <c r="JQ35" s="262"/>
      <c r="JR35" s="262"/>
      <c r="JS35" s="262"/>
      <c r="JT35" s="262"/>
      <c r="JU35" s="262"/>
      <c r="JV35" s="262"/>
      <c r="JW35" s="262"/>
      <c r="JX35" s="262"/>
      <c r="JY35" s="262">
        <v>0.6734634483511287</v>
      </c>
      <c r="JZ35" s="262"/>
      <c r="KA35" s="262"/>
      <c r="KB35" s="262"/>
      <c r="KC35" s="262"/>
      <c r="KD35" s="262"/>
      <c r="KE35" s="262"/>
      <c r="KF35" s="262"/>
      <c r="KG35" s="262"/>
      <c r="KH35" s="262">
        <v>0.64505612221135489</v>
      </c>
      <c r="KI35" s="262"/>
      <c r="KJ35" s="262"/>
      <c r="KK35" s="262"/>
      <c r="KL35" s="262"/>
      <c r="KM35" s="262"/>
      <c r="KN35" s="262"/>
      <c r="KO35" s="262"/>
      <c r="KP35" s="262">
        <v>0.78772287287801235</v>
      </c>
      <c r="KQ35" s="262"/>
      <c r="KR35" s="262"/>
      <c r="KS35" s="262"/>
      <c r="KT35" s="262"/>
      <c r="KU35" s="262">
        <v>0.78293235315957532</v>
      </c>
      <c r="KV35" s="262">
        <v>0.85555551029884369</v>
      </c>
      <c r="KW35" s="262"/>
      <c r="KX35" s="262"/>
      <c r="KY35" s="262"/>
      <c r="KZ35" s="262">
        <v>0.85486232465876355</v>
      </c>
      <c r="LA35" s="262"/>
      <c r="LB35" s="262"/>
      <c r="LC35" s="262">
        <v>0.44031114555526857</v>
      </c>
      <c r="LD35" s="262"/>
      <c r="LE35" s="262"/>
      <c r="LF35" s="262"/>
      <c r="LG35" s="262"/>
      <c r="LH35" s="262"/>
      <c r="LI35" s="262"/>
      <c r="LJ35" s="262"/>
      <c r="LK35" s="262"/>
      <c r="LL35" s="262"/>
      <c r="LM35" s="262"/>
      <c r="LN35" s="262"/>
      <c r="LO35" s="262"/>
      <c r="LP35" s="262"/>
      <c r="LQ35" s="262"/>
      <c r="LR35" s="262">
        <v>0.55580072000929048</v>
      </c>
      <c r="LS35" s="262">
        <v>0.22617759858393158</v>
      </c>
      <c r="LT35" s="262"/>
      <c r="LU35" s="262"/>
      <c r="LV35" s="262"/>
      <c r="LW35" s="262"/>
      <c r="LX35" s="262"/>
      <c r="LY35" s="262"/>
      <c r="LZ35" s="262"/>
      <c r="MA35" s="262">
        <v>0.80263602568435277</v>
      </c>
      <c r="MB35" s="262"/>
      <c r="MC35" s="262"/>
      <c r="MD35" s="262"/>
      <c r="ME35" s="262"/>
      <c r="MF35" s="262"/>
      <c r="MG35" s="262">
        <v>0.77245177935214382</v>
      </c>
      <c r="MH35" s="262"/>
      <c r="MI35" s="262">
        <v>0.75972218739813957</v>
      </c>
      <c r="MJ35" s="262"/>
      <c r="MK35" s="262"/>
      <c r="ML35" s="262">
        <v>0.62972936123798484</v>
      </c>
      <c r="MM35" s="262"/>
      <c r="MN35" s="262">
        <v>0.60018438526160944</v>
      </c>
      <c r="MO35" s="262"/>
      <c r="MP35" s="262">
        <v>0.33708902844477279</v>
      </c>
      <c r="MQ35" s="262"/>
      <c r="MR35" s="262"/>
      <c r="MS35" s="262">
        <v>0.41717226089574572</v>
      </c>
      <c r="MT35" s="262"/>
      <c r="MU35" s="262"/>
      <c r="MV35" s="262">
        <v>0.12353998203054807</v>
      </c>
      <c r="MW35" s="262"/>
      <c r="MX35" s="262"/>
      <c r="MY35" s="262"/>
      <c r="MZ35" s="262"/>
      <c r="NA35" s="262"/>
      <c r="NB35" s="262">
        <v>0.41099453741437614</v>
      </c>
      <c r="NC35" s="262">
        <v>0.57544297120387478</v>
      </c>
      <c r="ND35" s="262">
        <v>0.6</v>
      </c>
    </row>
    <row r="36" spans="1:368" s="255" customFormat="1" ht="14.4" x14ac:dyDescent="0.3">
      <c r="A36" s="254"/>
      <c r="B36" s="257"/>
      <c r="D36" s="254"/>
      <c r="E36" s="255" t="s">
        <v>638</v>
      </c>
      <c r="F36" s="255" t="s">
        <v>407</v>
      </c>
      <c r="G36" s="255" t="s">
        <v>9</v>
      </c>
      <c r="J36" s="255" t="s">
        <v>774</v>
      </c>
      <c r="K36" s="255">
        <f t="shared" si="6"/>
        <v>35</v>
      </c>
      <c r="M36" s="262">
        <f t="shared" ref="M36:BX36" si="43">IF(M34&lt;&gt;"",M34,AVERAGEIF($9:$9,M$9,34:34))</f>
        <v>0.7815289494549198</v>
      </c>
      <c r="N36" s="262">
        <f t="shared" si="43"/>
        <v>0.60370550274096169</v>
      </c>
      <c r="O36" s="262">
        <f t="shared" si="43"/>
        <v>0.8471718954753924</v>
      </c>
      <c r="P36" s="262">
        <f t="shared" si="43"/>
        <v>0.7815289494549198</v>
      </c>
      <c r="Q36" s="262">
        <f t="shared" si="43"/>
        <v>0.7038098012798425</v>
      </c>
      <c r="R36" s="262">
        <f t="shared" si="43"/>
        <v>0.81460638627358994</v>
      </c>
      <c r="S36" s="262">
        <f t="shared" si="43"/>
        <v>0.73148499064902162</v>
      </c>
      <c r="T36" s="262">
        <f t="shared" si="43"/>
        <v>0.72632116415624204</v>
      </c>
      <c r="U36" s="262">
        <f t="shared" si="43"/>
        <v>0.69717091891482463</v>
      </c>
      <c r="V36" s="262">
        <f t="shared" si="43"/>
        <v>0.73148499064902162</v>
      </c>
      <c r="W36" s="262">
        <f t="shared" si="43"/>
        <v>0.7815289494549198</v>
      </c>
      <c r="X36" s="262">
        <f t="shared" si="43"/>
        <v>0.94865733163605503</v>
      </c>
      <c r="Y36" s="262">
        <f t="shared" si="43"/>
        <v>0.7815289494549198</v>
      </c>
      <c r="Z36" s="262">
        <f t="shared" si="43"/>
        <v>0.59616292203350285</v>
      </c>
      <c r="AA36" s="262">
        <f t="shared" si="43"/>
        <v>0.75908215762396247</v>
      </c>
      <c r="AB36" s="262">
        <f t="shared" si="43"/>
        <v>0.39226839003246017</v>
      </c>
      <c r="AC36" s="262">
        <f t="shared" si="43"/>
        <v>0.73148499064902162</v>
      </c>
      <c r="AD36" s="262">
        <f t="shared" si="43"/>
        <v>0.81460638627358994</v>
      </c>
      <c r="AE36" s="262">
        <f t="shared" si="43"/>
        <v>0.73148499064902162</v>
      </c>
      <c r="AF36" s="262">
        <f t="shared" si="43"/>
        <v>0.83244089808905375</v>
      </c>
      <c r="AG36" s="262">
        <f t="shared" si="43"/>
        <v>0.8471718954753924</v>
      </c>
      <c r="AH36" s="262">
        <f t="shared" si="43"/>
        <v>0.7815289494549198</v>
      </c>
      <c r="AI36" s="262">
        <f t="shared" si="43"/>
        <v>0.73148499064902162</v>
      </c>
      <c r="AJ36" s="262">
        <f t="shared" si="43"/>
        <v>0.73148499064902162</v>
      </c>
      <c r="AK36" s="262">
        <f t="shared" si="43"/>
        <v>0.89138536515444711</v>
      </c>
      <c r="AL36" s="262">
        <f t="shared" si="43"/>
        <v>0.8471718954753924</v>
      </c>
      <c r="AM36" s="262">
        <f t="shared" si="43"/>
        <v>0.7815289494549198</v>
      </c>
      <c r="AN36" s="262">
        <f t="shared" si="43"/>
        <v>0.8471718954753924</v>
      </c>
      <c r="AO36" s="262">
        <f t="shared" si="43"/>
        <v>0.8471718954753924</v>
      </c>
      <c r="AP36" s="262">
        <f t="shared" si="43"/>
        <v>0.95885334952183476</v>
      </c>
      <c r="AQ36" s="262">
        <f t="shared" si="43"/>
        <v>0.8471718954753924</v>
      </c>
      <c r="AR36" s="262">
        <f t="shared" si="43"/>
        <v>0.7815289494549198</v>
      </c>
      <c r="AS36" s="262">
        <f t="shared" si="43"/>
        <v>0.8471718954753924</v>
      </c>
      <c r="AT36" s="262">
        <f t="shared" si="43"/>
        <v>0.73148499064902162</v>
      </c>
      <c r="AU36" s="262">
        <f t="shared" si="43"/>
        <v>0.8471718954753924</v>
      </c>
      <c r="AV36" s="262">
        <f t="shared" si="43"/>
        <v>0.8471718954753924</v>
      </c>
      <c r="AW36" s="262">
        <f t="shared" si="43"/>
        <v>0.81460638627358994</v>
      </c>
      <c r="AX36" s="262">
        <f t="shared" si="43"/>
        <v>0.97877612031984274</v>
      </c>
      <c r="AY36" s="262">
        <f t="shared" si="43"/>
        <v>0.5132122446670061</v>
      </c>
      <c r="AZ36" s="262">
        <f t="shared" si="43"/>
        <v>0.81460638627358994</v>
      </c>
      <c r="BA36" s="262">
        <f t="shared" si="43"/>
        <v>0.8471718954753924</v>
      </c>
      <c r="BB36" s="262">
        <f t="shared" si="43"/>
        <v>0.81460638627358994</v>
      </c>
      <c r="BC36" s="262">
        <f t="shared" si="43"/>
        <v>0.84070796460176989</v>
      </c>
      <c r="BD36" s="262">
        <f t="shared" si="43"/>
        <v>0.81460638627358994</v>
      </c>
      <c r="BE36" s="262">
        <f t="shared" si="43"/>
        <v>0.8471718954753924</v>
      </c>
      <c r="BF36" s="262">
        <f t="shared" si="43"/>
        <v>0.7815289494549198</v>
      </c>
      <c r="BG36" s="262">
        <f t="shared" si="43"/>
        <v>0.81460638627358994</v>
      </c>
      <c r="BH36" s="262">
        <f t="shared" si="43"/>
        <v>0.7815289494549198</v>
      </c>
      <c r="BI36" s="262">
        <f t="shared" si="43"/>
        <v>0.8471718954753924</v>
      </c>
      <c r="BJ36" s="262">
        <f t="shared" si="43"/>
        <v>0.81460638627358994</v>
      </c>
      <c r="BK36" s="262">
        <f t="shared" si="43"/>
        <v>0.912147462521261</v>
      </c>
      <c r="BL36" s="262">
        <f t="shared" si="43"/>
        <v>0.8471718954753924</v>
      </c>
      <c r="BM36" s="262">
        <f t="shared" si="43"/>
        <v>0.7815289494549198</v>
      </c>
      <c r="BN36" s="262">
        <f t="shared" si="43"/>
        <v>0.8471718954753924</v>
      </c>
      <c r="BO36" s="262">
        <f t="shared" si="43"/>
        <v>0.73148499064902162</v>
      </c>
      <c r="BP36" s="262">
        <f t="shared" si="43"/>
        <v>0.8471718954753924</v>
      </c>
      <c r="BQ36" s="262">
        <f t="shared" si="43"/>
        <v>0.81460638627358994</v>
      </c>
      <c r="BR36" s="262">
        <f t="shared" si="43"/>
        <v>0.7815289494549198</v>
      </c>
      <c r="BS36" s="262">
        <f t="shared" si="43"/>
        <v>0.73148499064902162</v>
      </c>
      <c r="BT36" s="262">
        <f t="shared" si="43"/>
        <v>0.81460638627358994</v>
      </c>
      <c r="BU36" s="262">
        <f t="shared" si="43"/>
        <v>0.79584652876702655</v>
      </c>
      <c r="BV36" s="262">
        <f t="shared" si="43"/>
        <v>0.8471718954753924</v>
      </c>
      <c r="BW36" s="262">
        <f t="shared" si="43"/>
        <v>0.8471718954753924</v>
      </c>
      <c r="BX36" s="262">
        <f t="shared" si="43"/>
        <v>0.81460638627358994</v>
      </c>
      <c r="BY36" s="262">
        <f t="shared" ref="BY36:EJ36" si="44">IF(BY34&lt;&gt;"",BY34,AVERAGEIF($9:$9,BY$9,34:34))</f>
        <v>0.8471718954753924</v>
      </c>
      <c r="BZ36" s="262">
        <f t="shared" si="44"/>
        <v>0.7815289494549198</v>
      </c>
      <c r="CA36" s="262">
        <f t="shared" si="44"/>
        <v>0.60533724219654372</v>
      </c>
      <c r="CB36" s="262">
        <f t="shared" si="44"/>
        <v>0.8471718954753924</v>
      </c>
      <c r="CC36" s="262">
        <f t="shared" si="44"/>
        <v>0.8471718954753924</v>
      </c>
      <c r="CD36" s="262">
        <f t="shared" si="44"/>
        <v>0.73148499064902162</v>
      </c>
      <c r="CE36" s="262">
        <f t="shared" si="44"/>
        <v>0.56716514324472722</v>
      </c>
      <c r="CF36" s="262">
        <f t="shared" si="44"/>
        <v>0.7815289494549198</v>
      </c>
      <c r="CG36" s="262">
        <f t="shared" si="44"/>
        <v>0.8471718954753924</v>
      </c>
      <c r="CH36" s="262">
        <f t="shared" si="44"/>
        <v>0.81460638627358994</v>
      </c>
      <c r="CI36" s="262">
        <f t="shared" si="44"/>
        <v>0.81460638627358994</v>
      </c>
      <c r="CJ36" s="262">
        <f t="shared" si="44"/>
        <v>0.68035138042309062</v>
      </c>
      <c r="CK36" s="262">
        <f t="shared" si="44"/>
        <v>0.79652378746086661</v>
      </c>
      <c r="CL36" s="262">
        <f t="shared" si="44"/>
        <v>0.8471718954753924</v>
      </c>
      <c r="CM36" s="262">
        <f t="shared" si="44"/>
        <v>0.8471718954753924</v>
      </c>
      <c r="CN36" s="262">
        <f t="shared" si="44"/>
        <v>0.97949675474783393</v>
      </c>
      <c r="CO36" s="262">
        <f t="shared" si="44"/>
        <v>0.89663622187569614</v>
      </c>
      <c r="CP36" s="262">
        <f t="shared" si="44"/>
        <v>0.8471718954753924</v>
      </c>
      <c r="CQ36" s="262">
        <f t="shared" si="44"/>
        <v>0.81460638627358994</v>
      </c>
      <c r="CR36" s="262">
        <f t="shared" si="44"/>
        <v>0.9204386270153555</v>
      </c>
      <c r="CS36" s="262">
        <f t="shared" si="44"/>
        <v>0.8471718954753924</v>
      </c>
      <c r="CT36" s="262">
        <f t="shared" si="44"/>
        <v>0.8471718954753924</v>
      </c>
      <c r="CU36" s="262">
        <f t="shared" si="44"/>
        <v>0.7815289494549198</v>
      </c>
      <c r="CV36" s="262">
        <f t="shared" si="44"/>
        <v>0.55714258160460395</v>
      </c>
      <c r="CW36" s="262">
        <f t="shared" si="44"/>
        <v>0.8471718954753924</v>
      </c>
      <c r="CX36" s="262">
        <f t="shared" si="44"/>
        <v>0.89746950608336284</v>
      </c>
      <c r="CY36" s="262">
        <f t="shared" si="44"/>
        <v>0.66645801498610013</v>
      </c>
      <c r="CZ36" s="262">
        <f t="shared" si="44"/>
        <v>0.88702656679007741</v>
      </c>
      <c r="DA36" s="262">
        <f t="shared" si="44"/>
        <v>0.8471718954753924</v>
      </c>
      <c r="DB36" s="262">
        <f t="shared" si="44"/>
        <v>0.8471718954753924</v>
      </c>
      <c r="DC36" s="262">
        <f t="shared" si="44"/>
        <v>0.73148499064902162</v>
      </c>
      <c r="DD36" s="262">
        <f t="shared" si="44"/>
        <v>0.8471718954753924</v>
      </c>
      <c r="DE36" s="262">
        <f t="shared" si="44"/>
        <v>0.81460638627358994</v>
      </c>
      <c r="DF36" s="262">
        <f t="shared" si="44"/>
        <v>0.81460638627358994</v>
      </c>
      <c r="DG36" s="262">
        <f t="shared" si="44"/>
        <v>0.8471718954753924</v>
      </c>
      <c r="DH36" s="262">
        <f t="shared" si="44"/>
        <v>0.8471718954753924</v>
      </c>
      <c r="DI36" s="262">
        <f t="shared" si="44"/>
        <v>0.96460684596181967</v>
      </c>
      <c r="DJ36" s="262">
        <f t="shared" si="44"/>
        <v>0.8471718954753924</v>
      </c>
      <c r="DK36" s="262">
        <f t="shared" si="44"/>
        <v>0.81460638627358994</v>
      </c>
      <c r="DL36" s="262">
        <f t="shared" si="44"/>
        <v>0.81460638627358994</v>
      </c>
      <c r="DM36" s="262">
        <f t="shared" si="44"/>
        <v>0.73148499064902162</v>
      </c>
      <c r="DN36" s="262">
        <f t="shared" si="44"/>
        <v>0.73148499064902162</v>
      </c>
      <c r="DO36" s="262">
        <f t="shared" si="44"/>
        <v>0.55714258160460395</v>
      </c>
      <c r="DP36" s="262">
        <f t="shared" si="44"/>
        <v>0.8471718954753924</v>
      </c>
      <c r="DQ36" s="262">
        <f t="shared" si="44"/>
        <v>0.55714258160460395</v>
      </c>
      <c r="DR36" s="262">
        <f t="shared" si="44"/>
        <v>0.55714258160460395</v>
      </c>
      <c r="DS36" s="262">
        <f t="shared" si="44"/>
        <v>0.7815289494549198</v>
      </c>
      <c r="DT36" s="262">
        <f t="shared" si="44"/>
        <v>0.81460638627358994</v>
      </c>
      <c r="DU36" s="262">
        <f t="shared" si="44"/>
        <v>0.7815289494549198</v>
      </c>
      <c r="DV36" s="262">
        <f t="shared" si="44"/>
        <v>0.57842543286247261</v>
      </c>
      <c r="DW36" s="262">
        <f t="shared" si="44"/>
        <v>0.73148499064902162</v>
      </c>
      <c r="DX36" s="262">
        <f t="shared" si="44"/>
        <v>0.8471718954753924</v>
      </c>
      <c r="DY36" s="262">
        <f t="shared" si="44"/>
        <v>0.8471718954753924</v>
      </c>
      <c r="DZ36" s="262">
        <f t="shared" si="44"/>
        <v>0.73148499064902162</v>
      </c>
      <c r="EA36" s="262">
        <f t="shared" si="44"/>
        <v>0.8471718954753924</v>
      </c>
      <c r="EB36" s="262">
        <f t="shared" si="44"/>
        <v>0.81460638627358994</v>
      </c>
      <c r="EC36" s="262">
        <f t="shared" si="44"/>
        <v>0.8471718954753924</v>
      </c>
      <c r="ED36" s="262">
        <f t="shared" si="44"/>
        <v>0.6071143954212852</v>
      </c>
      <c r="EE36" s="262">
        <f t="shared" si="44"/>
        <v>0.79563242214596186</v>
      </c>
      <c r="EF36" s="262">
        <f t="shared" si="44"/>
        <v>0.8471718954753924</v>
      </c>
      <c r="EG36" s="262">
        <f t="shared" si="44"/>
        <v>0.81460638627358994</v>
      </c>
      <c r="EH36" s="262">
        <f t="shared" si="44"/>
        <v>0.69481103779244147</v>
      </c>
      <c r="EI36" s="262">
        <f t="shared" si="44"/>
        <v>0.73148499064902162</v>
      </c>
      <c r="EJ36" s="262">
        <f t="shared" si="44"/>
        <v>0.8471718954753924</v>
      </c>
      <c r="EK36" s="262">
        <f t="shared" ref="EK36:GV36" si="45">IF(EK34&lt;&gt;"",EK34,AVERAGEIF($9:$9,EK$9,34:34))</f>
        <v>0.81460638627358994</v>
      </c>
      <c r="EL36" s="262">
        <f t="shared" si="45"/>
        <v>0.63326158803770072</v>
      </c>
      <c r="EM36" s="262">
        <f t="shared" si="45"/>
        <v>0.8471718954753924</v>
      </c>
      <c r="EN36" s="262">
        <f t="shared" si="45"/>
        <v>0.73148499064902162</v>
      </c>
      <c r="EO36" s="262">
        <f t="shared" si="45"/>
        <v>0.73148499064902162</v>
      </c>
      <c r="EP36" s="262">
        <f t="shared" si="45"/>
        <v>0.64403538980621489</v>
      </c>
      <c r="EQ36" s="262">
        <f t="shared" si="45"/>
        <v>0.73148499064902162</v>
      </c>
      <c r="ER36" s="262">
        <f t="shared" si="45"/>
        <v>0.73148499064902162</v>
      </c>
      <c r="ES36" s="262">
        <f t="shared" si="45"/>
        <v>0.96872471845183827</v>
      </c>
      <c r="ET36" s="262">
        <f t="shared" si="45"/>
        <v>0.81460638627358994</v>
      </c>
      <c r="EU36" s="262">
        <f t="shared" si="45"/>
        <v>0.77123226023186087</v>
      </c>
      <c r="EV36" s="262">
        <f t="shared" si="45"/>
        <v>0.8471718954753924</v>
      </c>
      <c r="EW36" s="262">
        <f t="shared" si="45"/>
        <v>0.55714258160460395</v>
      </c>
      <c r="EX36" s="262">
        <f t="shared" si="45"/>
        <v>0.8471718954753924</v>
      </c>
      <c r="EY36" s="262">
        <f t="shared" si="45"/>
        <v>0.8471718954753924</v>
      </c>
      <c r="EZ36" s="262">
        <f t="shared" si="45"/>
        <v>0.7815289494549198</v>
      </c>
      <c r="FA36" s="262">
        <f t="shared" si="45"/>
        <v>0.77277901626903189</v>
      </c>
      <c r="FB36" s="262">
        <f t="shared" si="45"/>
        <v>0.83569484817094786</v>
      </c>
      <c r="FC36" s="262">
        <f t="shared" si="45"/>
        <v>0.70276866941150362</v>
      </c>
      <c r="FD36" s="262">
        <f t="shared" si="45"/>
        <v>0.8471718954753924</v>
      </c>
      <c r="FE36" s="262">
        <f t="shared" si="45"/>
        <v>0.73148499064902162</v>
      </c>
      <c r="FF36" s="262">
        <f t="shared" si="45"/>
        <v>0.73148499064902162</v>
      </c>
      <c r="FG36" s="262">
        <f t="shared" si="45"/>
        <v>0.8471718954753924</v>
      </c>
      <c r="FH36" s="262">
        <f t="shared" si="45"/>
        <v>0.73148499064902162</v>
      </c>
      <c r="FI36" s="262">
        <f t="shared" si="45"/>
        <v>0.8471718954753924</v>
      </c>
      <c r="FJ36" s="262">
        <f t="shared" si="45"/>
        <v>0.81460638627358994</v>
      </c>
      <c r="FK36" s="262">
        <f t="shared" si="45"/>
        <v>0.8471718954753924</v>
      </c>
      <c r="FL36" s="262">
        <f t="shared" si="45"/>
        <v>0.79673824966909523</v>
      </c>
      <c r="FM36" s="262">
        <f t="shared" si="45"/>
        <v>0.73148499064902162</v>
      </c>
      <c r="FN36" s="262">
        <f t="shared" si="45"/>
        <v>0.77596130332870106</v>
      </c>
      <c r="FO36" s="262">
        <f t="shared" si="45"/>
        <v>0.73148499064902162</v>
      </c>
      <c r="FP36" s="262">
        <f t="shared" si="45"/>
        <v>0.8471718954753924</v>
      </c>
      <c r="FQ36" s="262">
        <f t="shared" si="45"/>
        <v>0.8471718954753924</v>
      </c>
      <c r="FR36" s="262">
        <f t="shared" si="45"/>
        <v>0.7815289494549198</v>
      </c>
      <c r="FS36" s="262">
        <f t="shared" si="45"/>
        <v>0.81460638627358994</v>
      </c>
      <c r="FT36" s="262">
        <f t="shared" si="45"/>
        <v>0.81460638627358994</v>
      </c>
      <c r="FU36" s="262">
        <f t="shared" si="45"/>
        <v>0.66347733703071998</v>
      </c>
      <c r="FV36" s="262">
        <f t="shared" si="45"/>
        <v>0.65349976949120692</v>
      </c>
      <c r="FW36" s="262">
        <f t="shared" si="45"/>
        <v>0.81460638627358994</v>
      </c>
      <c r="FX36" s="262">
        <f t="shared" si="45"/>
        <v>0.73148499064902162</v>
      </c>
      <c r="FY36" s="262">
        <f t="shared" si="45"/>
        <v>0.48423759000408872</v>
      </c>
      <c r="FZ36" s="262">
        <f t="shared" si="45"/>
        <v>0.73148499064902162</v>
      </c>
      <c r="GA36" s="262">
        <f t="shared" si="45"/>
        <v>0.55714258160460395</v>
      </c>
      <c r="GB36" s="262">
        <f t="shared" si="45"/>
        <v>0.61123310924596164</v>
      </c>
      <c r="GC36" s="262">
        <f t="shared" si="45"/>
        <v>0.7815289494549198</v>
      </c>
      <c r="GD36" s="262">
        <f t="shared" si="45"/>
        <v>0.9558857353144119</v>
      </c>
      <c r="GE36" s="262">
        <f t="shared" si="45"/>
        <v>0.8471718954753924</v>
      </c>
      <c r="GF36" s="262">
        <f t="shared" si="45"/>
        <v>0.94715042738513389</v>
      </c>
      <c r="GG36" s="262">
        <f t="shared" si="45"/>
        <v>0.8471718954753924</v>
      </c>
      <c r="GH36" s="262">
        <f t="shared" si="45"/>
        <v>0.81460638627358994</v>
      </c>
      <c r="GI36" s="262">
        <f t="shared" si="45"/>
        <v>0.7815289494549198</v>
      </c>
      <c r="GJ36" s="262">
        <f t="shared" si="45"/>
        <v>0.7815289494549198</v>
      </c>
      <c r="GK36" s="262">
        <f t="shared" si="45"/>
        <v>0.8471718954753924</v>
      </c>
      <c r="GL36" s="262">
        <f t="shared" si="45"/>
        <v>0.7815289494549198</v>
      </c>
      <c r="GM36" s="262">
        <f t="shared" si="45"/>
        <v>0.7815289494549198</v>
      </c>
      <c r="GN36" s="262">
        <f t="shared" si="45"/>
        <v>0.41886674252400369</v>
      </c>
      <c r="GO36" s="262">
        <f t="shared" si="45"/>
        <v>0.73148499064902162</v>
      </c>
      <c r="GP36" s="262">
        <f t="shared" si="45"/>
        <v>0.76776904168337379</v>
      </c>
      <c r="GQ36" s="262">
        <f t="shared" si="45"/>
        <v>0.8471718954753924</v>
      </c>
      <c r="GR36" s="262">
        <f t="shared" si="45"/>
        <v>0.8471718954753924</v>
      </c>
      <c r="GS36" s="262">
        <f t="shared" si="45"/>
        <v>0.85853326816414144</v>
      </c>
      <c r="GT36" s="262">
        <f t="shared" si="45"/>
        <v>0.73148499064902162</v>
      </c>
      <c r="GU36" s="262">
        <f t="shared" si="45"/>
        <v>0.8422528628184156</v>
      </c>
      <c r="GV36" s="262">
        <f t="shared" si="45"/>
        <v>0.7815289494549198</v>
      </c>
      <c r="GW36" s="262">
        <f t="shared" ref="GW36:JH36" si="46">IF(GW34&lt;&gt;"",GW34,AVERAGEIF($9:$9,GW$9,34:34))</f>
        <v>0.8471718954753924</v>
      </c>
      <c r="GX36" s="262">
        <f t="shared" si="46"/>
        <v>0.7815289494549198</v>
      </c>
      <c r="GY36" s="262">
        <f t="shared" si="46"/>
        <v>0.8471718954753924</v>
      </c>
      <c r="GZ36" s="262">
        <f t="shared" si="46"/>
        <v>0.7815289494549198</v>
      </c>
      <c r="HA36" s="262">
        <f t="shared" si="46"/>
        <v>0.8471718954753924</v>
      </c>
      <c r="HB36" s="262">
        <f t="shared" si="46"/>
        <v>0.8471718954753924</v>
      </c>
      <c r="HC36" s="262">
        <f t="shared" si="46"/>
        <v>0.7815289494549198</v>
      </c>
      <c r="HD36" s="262">
        <f t="shared" si="46"/>
        <v>0.7815289494549198</v>
      </c>
      <c r="HE36" s="262">
        <f t="shared" si="46"/>
        <v>0.8471718954753924</v>
      </c>
      <c r="HF36" s="262">
        <f t="shared" si="46"/>
        <v>0.73148499064902162</v>
      </c>
      <c r="HG36" s="262">
        <f t="shared" si="46"/>
        <v>0.8471718954753924</v>
      </c>
      <c r="HH36" s="262">
        <f t="shared" si="46"/>
        <v>0.81460638627358994</v>
      </c>
      <c r="HI36" s="262">
        <f t="shared" si="46"/>
        <v>0.73148499064902162</v>
      </c>
      <c r="HJ36" s="262">
        <f t="shared" si="46"/>
        <v>0.73148499064902162</v>
      </c>
      <c r="HK36" s="262">
        <f t="shared" si="46"/>
        <v>0.7815289494549198</v>
      </c>
      <c r="HL36" s="262">
        <f t="shared" si="46"/>
        <v>0.7815289494549198</v>
      </c>
      <c r="HM36" s="262">
        <f t="shared" si="46"/>
        <v>0.8471718954753924</v>
      </c>
      <c r="HN36" s="262">
        <f t="shared" si="46"/>
        <v>0.85034013605442171</v>
      </c>
      <c r="HO36" s="262">
        <f t="shared" si="46"/>
        <v>0.81460638627358994</v>
      </c>
      <c r="HP36" s="262">
        <f t="shared" si="46"/>
        <v>0.81460638627358994</v>
      </c>
      <c r="HQ36" s="262">
        <f t="shared" si="46"/>
        <v>0.8471718954753924</v>
      </c>
      <c r="HR36" s="262">
        <f t="shared" si="46"/>
        <v>0.73148499064902162</v>
      </c>
      <c r="HS36" s="262">
        <f t="shared" si="46"/>
        <v>0.8471718954753924</v>
      </c>
      <c r="HT36" s="262">
        <f t="shared" si="46"/>
        <v>0.81460638627358994</v>
      </c>
      <c r="HU36" s="262">
        <f t="shared" si="46"/>
        <v>0.8471718954753924</v>
      </c>
      <c r="HV36" s="262">
        <f t="shared" si="46"/>
        <v>0.8471718954753924</v>
      </c>
      <c r="HW36" s="262">
        <f t="shared" si="46"/>
        <v>0.88826465731584647</v>
      </c>
      <c r="HX36" s="262">
        <f t="shared" si="46"/>
        <v>0.7815289494549198</v>
      </c>
      <c r="HY36" s="262">
        <f t="shared" si="46"/>
        <v>0.8471718954753924</v>
      </c>
      <c r="HZ36" s="262">
        <f t="shared" si="46"/>
        <v>0.8471718954753924</v>
      </c>
      <c r="IA36" s="262">
        <f t="shared" si="46"/>
        <v>0.73148499064902162</v>
      </c>
      <c r="IB36" s="262">
        <f t="shared" si="46"/>
        <v>0.7815289494549198</v>
      </c>
      <c r="IC36" s="262">
        <f t="shared" si="46"/>
        <v>0.81460638627358994</v>
      </c>
      <c r="ID36" s="262">
        <f t="shared" si="46"/>
        <v>0.85978580639183388</v>
      </c>
      <c r="IE36" s="262">
        <f t="shared" si="46"/>
        <v>0.7815289494549198</v>
      </c>
      <c r="IF36" s="262">
        <f t="shared" si="46"/>
        <v>0.81460638627358994</v>
      </c>
      <c r="IG36" s="262">
        <f t="shared" si="46"/>
        <v>0.8471718954753924</v>
      </c>
      <c r="IH36" s="262">
        <f t="shared" si="46"/>
        <v>0.81460638627358994</v>
      </c>
      <c r="II36" s="262">
        <f t="shared" si="46"/>
        <v>0.8471718954753924</v>
      </c>
      <c r="IJ36" s="262">
        <f t="shared" si="46"/>
        <v>0.8471718954753924</v>
      </c>
      <c r="IK36" s="262">
        <f t="shared" si="46"/>
        <v>0.71433353417687617</v>
      </c>
      <c r="IL36" s="262">
        <f t="shared" si="46"/>
        <v>0.8471718954753924</v>
      </c>
      <c r="IM36" s="262">
        <f t="shared" si="46"/>
        <v>0.8471718954753924</v>
      </c>
      <c r="IN36" s="262">
        <f t="shared" si="46"/>
        <v>0.70783555198903336</v>
      </c>
      <c r="IO36" s="262">
        <f t="shared" si="46"/>
        <v>0.73148499064902162</v>
      </c>
      <c r="IP36" s="262">
        <f t="shared" si="46"/>
        <v>0.8471718954753924</v>
      </c>
      <c r="IQ36" s="262">
        <f t="shared" si="46"/>
        <v>0.8471718954753924</v>
      </c>
      <c r="IR36" s="262">
        <f t="shared" si="46"/>
        <v>0.8471718954753924</v>
      </c>
      <c r="IS36" s="262">
        <f t="shared" si="46"/>
        <v>0.92399623762011018</v>
      </c>
      <c r="IT36" s="262">
        <f t="shared" si="46"/>
        <v>0.8471718954753924</v>
      </c>
      <c r="IU36" s="262">
        <f t="shared" si="46"/>
        <v>0.8471718954753924</v>
      </c>
      <c r="IV36" s="262">
        <f t="shared" si="46"/>
        <v>0.85726412843780875</v>
      </c>
      <c r="IW36" s="262">
        <f t="shared" si="46"/>
        <v>0.8471718954753924</v>
      </c>
      <c r="IX36" s="262">
        <f t="shared" si="46"/>
        <v>0.73148499064902162</v>
      </c>
      <c r="IY36" s="262">
        <f t="shared" si="46"/>
        <v>0.81460638627358994</v>
      </c>
      <c r="IZ36" s="262">
        <f t="shared" si="46"/>
        <v>0.55714258160460395</v>
      </c>
      <c r="JA36" s="262">
        <f t="shared" si="46"/>
        <v>0.7815289494549198</v>
      </c>
      <c r="JB36" s="262">
        <f t="shared" si="46"/>
        <v>0.73148499064902162</v>
      </c>
      <c r="JC36" s="262">
        <f t="shared" si="46"/>
        <v>0.80418743334711729</v>
      </c>
      <c r="JD36" s="262">
        <f t="shared" si="46"/>
        <v>0.68644120352665139</v>
      </c>
      <c r="JE36" s="262">
        <f t="shared" si="46"/>
        <v>0.36867074241094394</v>
      </c>
      <c r="JF36" s="262">
        <f t="shared" si="46"/>
        <v>0.8471718954753924</v>
      </c>
      <c r="JG36" s="262">
        <f t="shared" si="46"/>
        <v>0.8471718954753924</v>
      </c>
      <c r="JH36" s="262">
        <f t="shared" si="46"/>
        <v>0.71315486943668915</v>
      </c>
      <c r="JI36" s="262">
        <f t="shared" ref="JI36:LT36" si="47">IF(JI34&lt;&gt;"",JI34,AVERAGEIF($9:$9,JI$9,34:34))</f>
        <v>0.8471718954753924</v>
      </c>
      <c r="JJ36" s="262">
        <f t="shared" si="47"/>
        <v>0.59854226909659591</v>
      </c>
      <c r="JK36" s="262">
        <f t="shared" si="47"/>
        <v>0.7815289494549198</v>
      </c>
      <c r="JL36" s="262">
        <f t="shared" si="47"/>
        <v>0.7815289494549198</v>
      </c>
      <c r="JM36" s="262">
        <f t="shared" si="47"/>
        <v>0.8471718954753924</v>
      </c>
      <c r="JN36" s="262">
        <f t="shared" si="47"/>
        <v>0.7815289494549198</v>
      </c>
      <c r="JO36" s="262">
        <f t="shared" si="47"/>
        <v>0.8471718954753924</v>
      </c>
      <c r="JP36" s="262">
        <f t="shared" si="47"/>
        <v>0.81460638627358994</v>
      </c>
      <c r="JQ36" s="262">
        <f t="shared" si="47"/>
        <v>0.73148499064902162</v>
      </c>
      <c r="JR36" s="262">
        <f t="shared" si="47"/>
        <v>0.7815289494549198</v>
      </c>
      <c r="JS36" s="262">
        <f t="shared" si="47"/>
        <v>0.81460638627358994</v>
      </c>
      <c r="JT36" s="262">
        <f t="shared" si="47"/>
        <v>0.81460638627358994</v>
      </c>
      <c r="JU36" s="262">
        <f t="shared" si="47"/>
        <v>0.8471718954753924</v>
      </c>
      <c r="JV36" s="262">
        <f t="shared" si="47"/>
        <v>0.8471718954753924</v>
      </c>
      <c r="JW36" s="262">
        <f t="shared" si="47"/>
        <v>0.8471718954753924</v>
      </c>
      <c r="JX36" s="262">
        <f t="shared" si="47"/>
        <v>0.7815289494549198</v>
      </c>
      <c r="JY36" s="262">
        <f t="shared" si="47"/>
        <v>0.78814627994955855</v>
      </c>
      <c r="JZ36" s="262">
        <f t="shared" si="47"/>
        <v>0.8471718954753924</v>
      </c>
      <c r="KA36" s="262">
        <f t="shared" si="47"/>
        <v>0.8471718954753924</v>
      </c>
      <c r="KB36" s="262">
        <f t="shared" si="47"/>
        <v>0.8471718954753924</v>
      </c>
      <c r="KC36" s="262">
        <f t="shared" si="47"/>
        <v>0.81460638627358994</v>
      </c>
      <c r="KD36" s="262">
        <f t="shared" si="47"/>
        <v>0.8471718954753924</v>
      </c>
      <c r="KE36" s="262">
        <f t="shared" si="47"/>
        <v>0.8471718954753924</v>
      </c>
      <c r="KF36" s="262">
        <f t="shared" si="47"/>
        <v>0.7815289494549198</v>
      </c>
      <c r="KG36" s="262">
        <f t="shared" si="47"/>
        <v>0.7815289494549198</v>
      </c>
      <c r="KH36" s="262">
        <f t="shared" si="47"/>
        <v>0.77770647687663153</v>
      </c>
      <c r="KI36" s="262">
        <f t="shared" si="47"/>
        <v>0.7815289494549198</v>
      </c>
      <c r="KJ36" s="262">
        <f t="shared" si="47"/>
        <v>0.81460638627358994</v>
      </c>
      <c r="KK36" s="262">
        <f t="shared" si="47"/>
        <v>0.55714258160460395</v>
      </c>
      <c r="KL36" s="262">
        <f t="shared" si="47"/>
        <v>0.7815289494549198</v>
      </c>
      <c r="KM36" s="262">
        <f t="shared" si="47"/>
        <v>0.8471718954753924</v>
      </c>
      <c r="KN36" s="262">
        <f t="shared" si="47"/>
        <v>0.8471718954753924</v>
      </c>
      <c r="KO36" s="262">
        <f t="shared" si="47"/>
        <v>0.7815289494549198</v>
      </c>
      <c r="KP36" s="262">
        <f t="shared" si="47"/>
        <v>0.92183712701640996</v>
      </c>
      <c r="KQ36" s="262">
        <f t="shared" si="47"/>
        <v>0.81460638627358994</v>
      </c>
      <c r="KR36" s="262">
        <f t="shared" si="47"/>
        <v>0.81460638627358994</v>
      </c>
      <c r="KS36" s="262">
        <f t="shared" si="47"/>
        <v>0.81460638627358994</v>
      </c>
      <c r="KT36" s="262">
        <f t="shared" si="47"/>
        <v>0.55714258160460395</v>
      </c>
      <c r="KU36" s="262">
        <f t="shared" si="47"/>
        <v>0.88119474389325225</v>
      </c>
      <c r="KV36" s="262">
        <f t="shared" si="47"/>
        <v>0.8929460881535215</v>
      </c>
      <c r="KW36" s="262">
        <f t="shared" si="47"/>
        <v>0.8471718954753924</v>
      </c>
      <c r="KX36" s="262">
        <f t="shared" si="47"/>
        <v>0.81460638627358994</v>
      </c>
      <c r="KY36" s="262">
        <f t="shared" si="47"/>
        <v>0.81460638627358994</v>
      </c>
      <c r="KZ36" s="262">
        <f t="shared" si="47"/>
        <v>0.89367885686606929</v>
      </c>
      <c r="LA36" s="262">
        <f t="shared" si="47"/>
        <v>0.7815289494549198</v>
      </c>
      <c r="LB36" s="262">
        <f t="shared" si="47"/>
        <v>0.73148499064902162</v>
      </c>
      <c r="LC36" s="262">
        <f t="shared" si="47"/>
        <v>0.72651790347690703</v>
      </c>
      <c r="LD36" s="262">
        <f t="shared" si="47"/>
        <v>0.73148499064902162</v>
      </c>
      <c r="LE36" s="262">
        <f t="shared" si="47"/>
        <v>0.81460638627358994</v>
      </c>
      <c r="LF36" s="262">
        <f t="shared" si="47"/>
        <v>0.8471718954753924</v>
      </c>
      <c r="LG36" s="262">
        <f t="shared" si="47"/>
        <v>0.55714258160460395</v>
      </c>
      <c r="LH36" s="262">
        <f t="shared" si="47"/>
        <v>0.7815289494549198</v>
      </c>
      <c r="LI36" s="262">
        <f t="shared" si="47"/>
        <v>0.73148499064902162</v>
      </c>
      <c r="LJ36" s="262">
        <f t="shared" si="47"/>
        <v>0.8471718954753924</v>
      </c>
      <c r="LK36" s="262">
        <f t="shared" si="47"/>
        <v>0.73148499064902162</v>
      </c>
      <c r="LL36" s="262">
        <f t="shared" si="47"/>
        <v>0.8471718954753924</v>
      </c>
      <c r="LM36" s="262">
        <f t="shared" si="47"/>
        <v>0.81460638627358994</v>
      </c>
      <c r="LN36" s="262">
        <f t="shared" si="47"/>
        <v>0.7815289494549198</v>
      </c>
      <c r="LO36" s="262">
        <f t="shared" si="47"/>
        <v>0.8471718954753924</v>
      </c>
      <c r="LP36" s="262">
        <f t="shared" si="47"/>
        <v>0.81460638627358994</v>
      </c>
      <c r="LQ36" s="262">
        <f t="shared" si="47"/>
        <v>0.73148499064902162</v>
      </c>
      <c r="LR36" s="262">
        <f t="shared" si="47"/>
        <v>0.87635098003297307</v>
      </c>
      <c r="LS36" s="262">
        <f t="shared" si="47"/>
        <v>0.71279973721668677</v>
      </c>
      <c r="LT36" s="262">
        <f t="shared" si="47"/>
        <v>0.8471718954753924</v>
      </c>
      <c r="LU36" s="262">
        <f t="shared" ref="LU36:NC36" si="48">IF(LU34&lt;&gt;"",LU34,AVERAGEIF($9:$9,LU$9,34:34))</f>
        <v>0.81460638627358994</v>
      </c>
      <c r="LV36" s="262">
        <f t="shared" si="48"/>
        <v>0.73148499064902162</v>
      </c>
      <c r="LW36" s="262">
        <f t="shared" si="48"/>
        <v>0.7815289494549198</v>
      </c>
      <c r="LX36" s="262">
        <f t="shared" si="48"/>
        <v>0.7815289494549198</v>
      </c>
      <c r="LY36" s="262">
        <f t="shared" si="48"/>
        <v>0.7815289494549198</v>
      </c>
      <c r="LZ36" s="262">
        <f t="shared" si="48"/>
        <v>0.7815289494549198</v>
      </c>
      <c r="MA36" s="262">
        <f t="shared" si="48"/>
        <v>0.89714055668004877</v>
      </c>
      <c r="MB36" s="262">
        <f t="shared" si="48"/>
        <v>0.7815289494549198</v>
      </c>
      <c r="MC36" s="262">
        <f t="shared" si="48"/>
        <v>0.81460638627358994</v>
      </c>
      <c r="MD36" s="262">
        <f t="shared" si="48"/>
        <v>0.8471718954753924</v>
      </c>
      <c r="ME36" s="262">
        <f t="shared" si="48"/>
        <v>0.8471718954753924</v>
      </c>
      <c r="MF36" s="262">
        <f t="shared" si="48"/>
        <v>0.8471718954753924</v>
      </c>
      <c r="MG36" s="262">
        <f t="shared" si="48"/>
        <v>0.91681450375393914</v>
      </c>
      <c r="MH36" s="262">
        <f t="shared" si="48"/>
        <v>0.8471718954753924</v>
      </c>
      <c r="MI36" s="262">
        <f t="shared" si="48"/>
        <v>0.79950471980721349</v>
      </c>
      <c r="MJ36" s="262">
        <f t="shared" si="48"/>
        <v>0.81460638627358994</v>
      </c>
      <c r="MK36" s="262">
        <f t="shared" si="48"/>
        <v>0.8471718954753924</v>
      </c>
      <c r="ML36" s="262">
        <f t="shared" si="48"/>
        <v>0.87306873252767092</v>
      </c>
      <c r="MM36" s="262">
        <f t="shared" si="48"/>
        <v>0.7815289494549198</v>
      </c>
      <c r="MN36" s="262">
        <f t="shared" si="48"/>
        <v>0.47033884965317491</v>
      </c>
      <c r="MO36" s="262">
        <f t="shared" si="48"/>
        <v>0.8471718954753924</v>
      </c>
      <c r="MP36" s="262">
        <f t="shared" si="48"/>
        <v>0.53329673028853786</v>
      </c>
      <c r="MQ36" s="262">
        <f t="shared" si="48"/>
        <v>0.8471718954753924</v>
      </c>
      <c r="MR36" s="262">
        <f t="shared" si="48"/>
        <v>0.73148499064902162</v>
      </c>
      <c r="MS36" s="262">
        <f t="shared" si="48"/>
        <v>0.76159607698250087</v>
      </c>
      <c r="MT36" s="262">
        <f t="shared" si="48"/>
        <v>0.73148499064902162</v>
      </c>
      <c r="MU36" s="262">
        <f t="shared" si="48"/>
        <v>0.81460638627358994</v>
      </c>
      <c r="MV36" s="262">
        <f t="shared" si="48"/>
        <v>0.58127580508875221</v>
      </c>
      <c r="MW36" s="262">
        <f t="shared" si="48"/>
        <v>0.8471718954753924</v>
      </c>
      <c r="MX36" s="262">
        <f t="shared" si="48"/>
        <v>0.81460638627358994</v>
      </c>
      <c r="MY36" s="262">
        <f t="shared" si="48"/>
        <v>0.8471718954753924</v>
      </c>
      <c r="MZ36" s="262">
        <f t="shared" si="48"/>
        <v>0.73148499064902162</v>
      </c>
      <c r="NA36" s="262">
        <f t="shared" si="48"/>
        <v>0.8471718954753924</v>
      </c>
      <c r="NB36" s="262">
        <f t="shared" si="48"/>
        <v>0.77401612348772997</v>
      </c>
      <c r="NC36" s="262">
        <f t="shared" si="48"/>
        <v>0.63197931110246763</v>
      </c>
      <c r="ND36" s="262">
        <f t="shared" ref="ND36" si="49">IF(ND34&lt;&gt;"",ND34,AVERAGEIF($9:$9,ND$9,34:34))</f>
        <v>0.65</v>
      </c>
    </row>
    <row r="37" spans="1:368" s="255" customFormat="1" ht="14.4" x14ac:dyDescent="0.3">
      <c r="A37" s="254"/>
      <c r="B37" s="257"/>
      <c r="D37" s="254"/>
      <c r="E37" s="255" t="s">
        <v>772</v>
      </c>
      <c r="F37" s="255" t="s">
        <v>407</v>
      </c>
      <c r="G37" s="255" t="s">
        <v>9</v>
      </c>
      <c r="J37" s="255" t="s">
        <v>774</v>
      </c>
      <c r="K37" s="255">
        <f t="shared" si="6"/>
        <v>36</v>
      </c>
      <c r="M37" s="262">
        <f t="shared" ref="M37:BX37" si="50">IF(M35&lt;&gt;"",M35,AVERAGEIF($9:$9,M$9,35:35))</f>
        <v>0.75891141270205342</v>
      </c>
      <c r="N37" s="262">
        <f t="shared" si="50"/>
        <v>0.42285811663671252</v>
      </c>
      <c r="O37" s="262">
        <f t="shared" si="50"/>
        <v>0.69111430194276358</v>
      </c>
      <c r="P37" s="262">
        <f t="shared" si="50"/>
        <v>0.75891141270205342</v>
      </c>
      <c r="Q37" s="262">
        <f t="shared" si="50"/>
        <v>0.4534607100778219</v>
      </c>
      <c r="R37" s="262">
        <f t="shared" si="50"/>
        <v>0.67430450478815518</v>
      </c>
      <c r="S37" s="262">
        <f t="shared" si="50"/>
        <v>0.48991508496530134</v>
      </c>
      <c r="T37" s="262">
        <f t="shared" si="50"/>
        <v>0.61449249303245523</v>
      </c>
      <c r="U37" s="262">
        <f t="shared" si="50"/>
        <v>0.70435554240922871</v>
      </c>
      <c r="V37" s="262">
        <f t="shared" si="50"/>
        <v>0.48991508496530134</v>
      </c>
      <c r="W37" s="262">
        <f t="shared" si="50"/>
        <v>0.75891141270205342</v>
      </c>
      <c r="X37" s="262">
        <f t="shared" si="50"/>
        <v>0.69546458472443362</v>
      </c>
      <c r="Y37" s="262">
        <f t="shared" si="50"/>
        <v>0.75891141270205342</v>
      </c>
      <c r="Z37" s="262">
        <f t="shared" si="50"/>
        <v>0.40575548550204438</v>
      </c>
      <c r="AA37" s="262">
        <f t="shared" si="50"/>
        <v>0.51384819755063416</v>
      </c>
      <c r="AB37" s="262">
        <f t="shared" si="50"/>
        <v>0.3991428931557498</v>
      </c>
      <c r="AC37" s="262">
        <f t="shared" si="50"/>
        <v>0.48991508496530134</v>
      </c>
      <c r="AD37" s="262">
        <f t="shared" si="50"/>
        <v>0.67430450478815518</v>
      </c>
      <c r="AE37" s="262">
        <f t="shared" si="50"/>
        <v>0.48991508496530134</v>
      </c>
      <c r="AF37" s="262">
        <f t="shared" si="50"/>
        <v>0.70135047663881367</v>
      </c>
      <c r="AG37" s="262">
        <f t="shared" si="50"/>
        <v>0.69111430194276358</v>
      </c>
      <c r="AH37" s="262">
        <f t="shared" si="50"/>
        <v>0.75891141270205342</v>
      </c>
      <c r="AI37" s="262">
        <f t="shared" si="50"/>
        <v>0.48991508496530134</v>
      </c>
      <c r="AJ37" s="262">
        <f t="shared" si="50"/>
        <v>0.48991508496530134</v>
      </c>
      <c r="AK37" s="262">
        <f t="shared" si="50"/>
        <v>0.77780523034818305</v>
      </c>
      <c r="AL37" s="262">
        <f t="shared" si="50"/>
        <v>0.69111430194276358</v>
      </c>
      <c r="AM37" s="262">
        <f t="shared" si="50"/>
        <v>0.75891141270205342</v>
      </c>
      <c r="AN37" s="262">
        <f t="shared" si="50"/>
        <v>0.69111430194276358</v>
      </c>
      <c r="AO37" s="262">
        <f t="shared" si="50"/>
        <v>0.69111430194276358</v>
      </c>
      <c r="AP37" s="262">
        <f t="shared" si="50"/>
        <v>0.92114606888701989</v>
      </c>
      <c r="AQ37" s="262">
        <f t="shared" si="50"/>
        <v>0.69111430194276358</v>
      </c>
      <c r="AR37" s="262">
        <f t="shared" si="50"/>
        <v>0.75891141270205342</v>
      </c>
      <c r="AS37" s="262">
        <f t="shared" si="50"/>
        <v>0.69111430194276358</v>
      </c>
      <c r="AT37" s="262">
        <f t="shared" si="50"/>
        <v>0.48991508496530134</v>
      </c>
      <c r="AU37" s="262">
        <f t="shared" si="50"/>
        <v>0.69111430194276358</v>
      </c>
      <c r="AV37" s="262">
        <f t="shared" si="50"/>
        <v>0.69111430194276358</v>
      </c>
      <c r="AW37" s="262">
        <f t="shared" si="50"/>
        <v>0.67430450478815518</v>
      </c>
      <c r="AX37" s="262">
        <f t="shared" si="50"/>
        <v>0.9429287228477824</v>
      </c>
      <c r="AY37" s="262">
        <f t="shared" si="50"/>
        <v>0.12986287077060663</v>
      </c>
      <c r="AZ37" s="262">
        <f t="shared" si="50"/>
        <v>0.67430450478815518</v>
      </c>
      <c r="BA37" s="262">
        <f t="shared" si="50"/>
        <v>0.69111430194276358</v>
      </c>
      <c r="BB37" s="262">
        <f t="shared" si="50"/>
        <v>0.67430450478815518</v>
      </c>
      <c r="BC37" s="262">
        <f t="shared" si="50"/>
        <v>0.56337655464408576</v>
      </c>
      <c r="BD37" s="262">
        <f t="shared" si="50"/>
        <v>0.67430450478815518</v>
      </c>
      <c r="BE37" s="262">
        <f t="shared" si="50"/>
        <v>0.69111430194276358</v>
      </c>
      <c r="BF37" s="262">
        <f t="shared" si="50"/>
        <v>0.75891141270205342</v>
      </c>
      <c r="BG37" s="262">
        <f t="shared" si="50"/>
        <v>0.67430450478815518</v>
      </c>
      <c r="BH37" s="262">
        <f t="shared" si="50"/>
        <v>0.75891141270205342</v>
      </c>
      <c r="BI37" s="262">
        <f t="shared" si="50"/>
        <v>0.69111430194276358</v>
      </c>
      <c r="BJ37" s="262">
        <f t="shared" si="50"/>
        <v>0.67430450478815518</v>
      </c>
      <c r="BK37" s="262">
        <f t="shared" si="50"/>
        <v>0.53382774784859721</v>
      </c>
      <c r="BL37" s="262">
        <f t="shared" si="50"/>
        <v>0.69111430194276358</v>
      </c>
      <c r="BM37" s="262">
        <f t="shared" si="50"/>
        <v>0.75891141270205342</v>
      </c>
      <c r="BN37" s="262">
        <f t="shared" si="50"/>
        <v>0.69111430194276358</v>
      </c>
      <c r="BO37" s="262">
        <f t="shared" si="50"/>
        <v>0.48991508496530134</v>
      </c>
      <c r="BP37" s="262">
        <f t="shared" si="50"/>
        <v>0.69111430194276358</v>
      </c>
      <c r="BQ37" s="262">
        <f t="shared" si="50"/>
        <v>0.67430450478815518</v>
      </c>
      <c r="BR37" s="262">
        <f t="shared" si="50"/>
        <v>0.75891141270205342</v>
      </c>
      <c r="BS37" s="262">
        <f t="shared" si="50"/>
        <v>0.48991508496530134</v>
      </c>
      <c r="BT37" s="262">
        <f t="shared" si="50"/>
        <v>0.67430450478815518</v>
      </c>
      <c r="BU37" s="262">
        <f t="shared" si="50"/>
        <v>0.91610181381869549</v>
      </c>
      <c r="BV37" s="262">
        <f t="shared" si="50"/>
        <v>0.69111430194276358</v>
      </c>
      <c r="BW37" s="262">
        <f t="shared" si="50"/>
        <v>0.69111430194276358</v>
      </c>
      <c r="BX37" s="262">
        <f t="shared" si="50"/>
        <v>0.67430450478815518</v>
      </c>
      <c r="BY37" s="262">
        <f t="shared" ref="BY37:EJ37" si="51">IF(BY35&lt;&gt;"",BY35,AVERAGEIF($9:$9,BY$9,35:35))</f>
        <v>0.69111430194276358</v>
      </c>
      <c r="BZ37" s="262">
        <f t="shared" si="51"/>
        <v>0.75891141270205342</v>
      </c>
      <c r="CA37" s="262">
        <f t="shared" si="51"/>
        <v>0.2096666708579045</v>
      </c>
      <c r="CB37" s="262">
        <f t="shared" si="51"/>
        <v>0.69111430194276358</v>
      </c>
      <c r="CC37" s="262">
        <f t="shared" si="51"/>
        <v>0.69111430194276358</v>
      </c>
      <c r="CD37" s="262">
        <f t="shared" si="51"/>
        <v>0.48991508496530134</v>
      </c>
      <c r="CE37" s="262">
        <f t="shared" si="51"/>
        <v>0.44296937199643166</v>
      </c>
      <c r="CF37" s="262">
        <f t="shared" si="51"/>
        <v>0.75891141270205342</v>
      </c>
      <c r="CG37" s="262">
        <f t="shared" si="51"/>
        <v>0.69111430194276358</v>
      </c>
      <c r="CH37" s="262">
        <f t="shared" si="51"/>
        <v>0.67430450478815518</v>
      </c>
      <c r="CI37" s="262">
        <f t="shared" si="51"/>
        <v>0.67430450478815518</v>
      </c>
      <c r="CJ37" s="262">
        <f t="shared" si="51"/>
        <v>0.22034930079823031</v>
      </c>
      <c r="CK37" s="262">
        <f t="shared" si="51"/>
        <v>0.68886004959328873</v>
      </c>
      <c r="CL37" s="262">
        <f t="shared" si="51"/>
        <v>0.69111430194276358</v>
      </c>
      <c r="CM37" s="262">
        <f t="shared" si="51"/>
        <v>0.69111430194276358</v>
      </c>
      <c r="CN37" s="262">
        <f t="shared" si="51"/>
        <v>0.92623395724265933</v>
      </c>
      <c r="CO37" s="262">
        <f t="shared" si="51"/>
        <v>0.81961902293637423</v>
      </c>
      <c r="CP37" s="262">
        <f t="shared" si="51"/>
        <v>0.69111430194276358</v>
      </c>
      <c r="CQ37" s="262">
        <f t="shared" si="51"/>
        <v>0.67430450478815518</v>
      </c>
      <c r="CR37" s="262">
        <f t="shared" si="51"/>
        <v>0.72316337407250253</v>
      </c>
      <c r="CS37" s="262">
        <f t="shared" si="51"/>
        <v>0.69111430194276358</v>
      </c>
      <c r="CT37" s="262">
        <f t="shared" si="51"/>
        <v>0.69111430194276358</v>
      </c>
      <c r="CU37" s="262">
        <f t="shared" si="51"/>
        <v>0.75891141270205342</v>
      </c>
      <c r="CV37" s="262">
        <f t="shared" si="51"/>
        <v>0.28181489046495478</v>
      </c>
      <c r="CW37" s="262">
        <f t="shared" si="51"/>
        <v>0.69111430194276358</v>
      </c>
      <c r="CX37" s="262">
        <f t="shared" si="51"/>
        <v>0.55947762457579087</v>
      </c>
      <c r="CY37" s="262">
        <f t="shared" si="51"/>
        <v>0.47577908308152728</v>
      </c>
      <c r="CZ37" s="262">
        <f t="shared" si="51"/>
        <v>0.82147203555743686</v>
      </c>
      <c r="DA37" s="262">
        <f t="shared" si="51"/>
        <v>0.69111430194276358</v>
      </c>
      <c r="DB37" s="262">
        <f t="shared" si="51"/>
        <v>0.69111430194276358</v>
      </c>
      <c r="DC37" s="262">
        <f t="shared" si="51"/>
        <v>0.48991508496530134</v>
      </c>
      <c r="DD37" s="262">
        <f t="shared" si="51"/>
        <v>0.69111430194276358</v>
      </c>
      <c r="DE37" s="262">
        <f t="shared" si="51"/>
        <v>0.67430450478815518</v>
      </c>
      <c r="DF37" s="262">
        <f t="shared" si="51"/>
        <v>0.67430450478815518</v>
      </c>
      <c r="DG37" s="262">
        <f t="shared" si="51"/>
        <v>0.69111430194276358</v>
      </c>
      <c r="DH37" s="262">
        <f t="shared" si="51"/>
        <v>0.69111430194276358</v>
      </c>
      <c r="DI37" s="262">
        <f t="shared" si="51"/>
        <v>0.87490958236570604</v>
      </c>
      <c r="DJ37" s="262">
        <f t="shared" si="51"/>
        <v>0.69111430194276358</v>
      </c>
      <c r="DK37" s="262">
        <f t="shared" si="51"/>
        <v>0.67430450478815518</v>
      </c>
      <c r="DL37" s="262">
        <f t="shared" si="51"/>
        <v>0.67430450478815518</v>
      </c>
      <c r="DM37" s="262">
        <f t="shared" si="51"/>
        <v>0.48991508496530134</v>
      </c>
      <c r="DN37" s="262">
        <f t="shared" si="51"/>
        <v>0.48991508496530134</v>
      </c>
      <c r="DO37" s="262">
        <f t="shared" si="51"/>
        <v>0.28181489046495478</v>
      </c>
      <c r="DP37" s="262">
        <f t="shared" si="51"/>
        <v>0.69111430194276358</v>
      </c>
      <c r="DQ37" s="262">
        <f t="shared" si="51"/>
        <v>0.28181489046495478</v>
      </c>
      <c r="DR37" s="262">
        <f t="shared" si="51"/>
        <v>0.28181489046495478</v>
      </c>
      <c r="DS37" s="262">
        <f t="shared" si="51"/>
        <v>0.75891141270205342</v>
      </c>
      <c r="DT37" s="262">
        <f t="shared" si="51"/>
        <v>0.67430450478815518</v>
      </c>
      <c r="DU37" s="262">
        <f t="shared" si="51"/>
        <v>0.75891141270205342</v>
      </c>
      <c r="DV37" s="262">
        <f t="shared" si="51"/>
        <v>0.31623340903000136</v>
      </c>
      <c r="DW37" s="262">
        <f t="shared" si="51"/>
        <v>0.48991508496530134</v>
      </c>
      <c r="DX37" s="262">
        <f t="shared" si="51"/>
        <v>0.69111430194276358</v>
      </c>
      <c r="DY37" s="262">
        <f t="shared" si="51"/>
        <v>0.69111430194276358</v>
      </c>
      <c r="DZ37" s="262">
        <f t="shared" si="51"/>
        <v>0.48991508496530134</v>
      </c>
      <c r="EA37" s="262">
        <f t="shared" si="51"/>
        <v>0.69111430194276358</v>
      </c>
      <c r="EB37" s="262">
        <f t="shared" si="51"/>
        <v>0.67430450478815518</v>
      </c>
      <c r="EC37" s="262">
        <f t="shared" si="51"/>
        <v>0.69111430194276358</v>
      </c>
      <c r="ED37" s="262">
        <f t="shared" si="51"/>
        <v>0.18059348969217459</v>
      </c>
      <c r="EE37" s="262">
        <f t="shared" si="51"/>
        <v>0.4448257864519905</v>
      </c>
      <c r="EF37" s="262">
        <f t="shared" si="51"/>
        <v>0.69111430194276358</v>
      </c>
      <c r="EG37" s="262">
        <f t="shared" si="51"/>
        <v>0.67430450478815518</v>
      </c>
      <c r="EH37" s="262">
        <f t="shared" si="51"/>
        <v>0.56589753617520533</v>
      </c>
      <c r="EI37" s="262">
        <f t="shared" si="51"/>
        <v>0.48991508496530134</v>
      </c>
      <c r="EJ37" s="262">
        <f t="shared" si="51"/>
        <v>0.69111430194276358</v>
      </c>
      <c r="EK37" s="262">
        <f t="shared" ref="EK37:GV37" si="52">IF(EK35&lt;&gt;"",EK35,AVERAGEIF($9:$9,EK$9,35:35))</f>
        <v>0.67430450478815518</v>
      </c>
      <c r="EL37" s="262">
        <f t="shared" si="52"/>
        <v>0.40437261038637778</v>
      </c>
      <c r="EM37" s="262">
        <f t="shared" si="52"/>
        <v>0.69111430194276358</v>
      </c>
      <c r="EN37" s="262">
        <f t="shared" si="52"/>
        <v>0.48991508496530134</v>
      </c>
      <c r="EO37" s="262">
        <f t="shared" si="52"/>
        <v>0.48991508496530134</v>
      </c>
      <c r="EP37" s="262">
        <f t="shared" si="52"/>
        <v>0.20740749011813572</v>
      </c>
      <c r="EQ37" s="262">
        <f t="shared" si="52"/>
        <v>0.48991508496530134</v>
      </c>
      <c r="ER37" s="262">
        <f t="shared" si="52"/>
        <v>0.48991508496530134</v>
      </c>
      <c r="ES37" s="262">
        <f t="shared" si="52"/>
        <v>0.90443585568264306</v>
      </c>
      <c r="ET37" s="262">
        <f t="shared" si="52"/>
        <v>0.67430450478815518</v>
      </c>
      <c r="EU37" s="262">
        <f t="shared" si="52"/>
        <v>0.35770216400911159</v>
      </c>
      <c r="EV37" s="262">
        <f t="shared" si="52"/>
        <v>0.69111430194276358</v>
      </c>
      <c r="EW37" s="262">
        <f t="shared" si="52"/>
        <v>0.28181489046495478</v>
      </c>
      <c r="EX37" s="262">
        <f t="shared" si="52"/>
        <v>0.69111430194276358</v>
      </c>
      <c r="EY37" s="262">
        <f t="shared" si="52"/>
        <v>0.69111430194276358</v>
      </c>
      <c r="EZ37" s="262">
        <f t="shared" si="52"/>
        <v>0.75891141270205342</v>
      </c>
      <c r="FA37" s="262">
        <f t="shared" si="52"/>
        <v>0.67303782025213499</v>
      </c>
      <c r="FB37" s="262">
        <f t="shared" si="52"/>
        <v>0.91736240902688904</v>
      </c>
      <c r="FC37" s="262">
        <f t="shared" si="52"/>
        <v>0.59896419725287098</v>
      </c>
      <c r="FD37" s="262">
        <f t="shared" si="52"/>
        <v>0.69111430194276358</v>
      </c>
      <c r="FE37" s="262">
        <f t="shared" si="52"/>
        <v>0.48991508496530134</v>
      </c>
      <c r="FF37" s="262">
        <f t="shared" si="52"/>
        <v>0.48991508496530134</v>
      </c>
      <c r="FG37" s="262">
        <f t="shared" si="52"/>
        <v>0.69111430194276358</v>
      </c>
      <c r="FH37" s="262">
        <f t="shared" si="52"/>
        <v>0.48991508496530134</v>
      </c>
      <c r="FI37" s="262">
        <f t="shared" si="52"/>
        <v>0.69111430194276358</v>
      </c>
      <c r="FJ37" s="262">
        <f t="shared" si="52"/>
        <v>0.67430450478815518</v>
      </c>
      <c r="FK37" s="262">
        <f t="shared" si="52"/>
        <v>0.69111430194276358</v>
      </c>
      <c r="FL37" s="262">
        <f t="shared" si="52"/>
        <v>0.36904463818260458</v>
      </c>
      <c r="FM37" s="262">
        <f t="shared" si="52"/>
        <v>0.48991508496530134</v>
      </c>
      <c r="FN37" s="262">
        <f t="shared" si="52"/>
        <v>0.6875946040353299</v>
      </c>
      <c r="FO37" s="262">
        <f t="shared" si="52"/>
        <v>0.48991508496530134</v>
      </c>
      <c r="FP37" s="262">
        <f t="shared" si="52"/>
        <v>0.69111430194276358</v>
      </c>
      <c r="FQ37" s="262">
        <f t="shared" si="52"/>
        <v>0.69111430194276358</v>
      </c>
      <c r="FR37" s="262">
        <f t="shared" si="52"/>
        <v>0.75891141270205342</v>
      </c>
      <c r="FS37" s="262">
        <f t="shared" si="52"/>
        <v>0.67430450478815518</v>
      </c>
      <c r="FT37" s="262">
        <f t="shared" si="52"/>
        <v>0.67430450478815518</v>
      </c>
      <c r="FU37" s="262">
        <f t="shared" si="52"/>
        <v>0.48965663097597956</v>
      </c>
      <c r="FV37" s="262">
        <f t="shared" si="52"/>
        <v>0.45701980020338578</v>
      </c>
      <c r="FW37" s="262">
        <f t="shared" si="52"/>
        <v>0.67430450478815518</v>
      </c>
      <c r="FX37" s="262">
        <f t="shared" si="52"/>
        <v>0.48991508496530134</v>
      </c>
      <c r="FY37" s="262">
        <f t="shared" si="52"/>
        <v>0</v>
      </c>
      <c r="FZ37" s="262">
        <f t="shared" si="52"/>
        <v>0.48991508496530134</v>
      </c>
      <c r="GA37" s="262">
        <f t="shared" si="52"/>
        <v>0.28181489046495478</v>
      </c>
      <c r="GB37" s="262">
        <f t="shared" si="52"/>
        <v>0.24742792317020695</v>
      </c>
      <c r="GC37" s="262">
        <f t="shared" si="52"/>
        <v>0.75891141270205342</v>
      </c>
      <c r="GD37" s="262">
        <f t="shared" si="52"/>
        <v>0.89304207893185483</v>
      </c>
      <c r="GE37" s="262">
        <f t="shared" si="52"/>
        <v>0.69111430194276358</v>
      </c>
      <c r="GF37" s="262">
        <f t="shared" si="52"/>
        <v>0.9292857946761568</v>
      </c>
      <c r="GG37" s="262">
        <f t="shared" si="52"/>
        <v>0.69111430194276358</v>
      </c>
      <c r="GH37" s="262">
        <f t="shared" si="52"/>
        <v>0.67430450478815518</v>
      </c>
      <c r="GI37" s="262">
        <f t="shared" si="52"/>
        <v>0.75891141270205342</v>
      </c>
      <c r="GJ37" s="262">
        <f t="shared" si="52"/>
        <v>0.75891141270205342</v>
      </c>
      <c r="GK37" s="262">
        <f t="shared" si="52"/>
        <v>0.69111430194276358</v>
      </c>
      <c r="GL37" s="262">
        <f t="shared" si="52"/>
        <v>0.75891141270205342</v>
      </c>
      <c r="GM37" s="262">
        <f t="shared" si="52"/>
        <v>0.75891141270205342</v>
      </c>
      <c r="GN37" s="262">
        <f t="shared" si="52"/>
        <v>8.2119766968333396E-2</v>
      </c>
      <c r="GO37" s="262">
        <f t="shared" si="52"/>
        <v>0.48991508496530134</v>
      </c>
      <c r="GP37" s="262">
        <f t="shared" si="52"/>
        <v>0.66695770741942362</v>
      </c>
      <c r="GQ37" s="262">
        <f t="shared" si="52"/>
        <v>0.69111430194276358</v>
      </c>
      <c r="GR37" s="262">
        <f t="shared" si="52"/>
        <v>0.69111430194276358</v>
      </c>
      <c r="GS37" s="262">
        <f t="shared" si="52"/>
        <v>0.74633879920234725</v>
      </c>
      <c r="GT37" s="262">
        <f t="shared" si="52"/>
        <v>0.48991508496530134</v>
      </c>
      <c r="GU37" s="262">
        <f t="shared" si="52"/>
        <v>0.7097130920931376</v>
      </c>
      <c r="GV37" s="262">
        <f t="shared" si="52"/>
        <v>0.75891141270205342</v>
      </c>
      <c r="GW37" s="262">
        <f t="shared" ref="GW37:JH37" si="53">IF(GW35&lt;&gt;"",GW35,AVERAGEIF($9:$9,GW$9,35:35))</f>
        <v>0.69111430194276358</v>
      </c>
      <c r="GX37" s="262">
        <f t="shared" si="53"/>
        <v>0.75891141270205342</v>
      </c>
      <c r="GY37" s="262">
        <f t="shared" si="53"/>
        <v>0.69111430194276358</v>
      </c>
      <c r="GZ37" s="262">
        <f t="shared" si="53"/>
        <v>0.75891141270205342</v>
      </c>
      <c r="HA37" s="262">
        <f t="shared" si="53"/>
        <v>0.69111430194276358</v>
      </c>
      <c r="HB37" s="262">
        <f t="shared" si="53"/>
        <v>0.69111430194276358</v>
      </c>
      <c r="HC37" s="262">
        <f t="shared" si="53"/>
        <v>0.75891141270205342</v>
      </c>
      <c r="HD37" s="262">
        <f t="shared" si="53"/>
        <v>0.75891141270205342</v>
      </c>
      <c r="HE37" s="262">
        <f t="shared" si="53"/>
        <v>0.69111430194276358</v>
      </c>
      <c r="HF37" s="262">
        <f t="shared" si="53"/>
        <v>0.48991508496530134</v>
      </c>
      <c r="HG37" s="262">
        <f t="shared" si="53"/>
        <v>0.69111430194276358</v>
      </c>
      <c r="HH37" s="262">
        <f t="shared" si="53"/>
        <v>0.67430450478815518</v>
      </c>
      <c r="HI37" s="262">
        <f t="shared" si="53"/>
        <v>0.48991508496530134</v>
      </c>
      <c r="HJ37" s="262">
        <f t="shared" si="53"/>
        <v>0.48991508496530134</v>
      </c>
      <c r="HK37" s="262">
        <f t="shared" si="53"/>
        <v>0.75891141270205342</v>
      </c>
      <c r="HL37" s="262">
        <f t="shared" si="53"/>
        <v>0.75891141270205342</v>
      </c>
      <c r="HM37" s="262">
        <f t="shared" si="53"/>
        <v>0.69111430194276358</v>
      </c>
      <c r="HN37" s="262">
        <f t="shared" si="53"/>
        <v>0.64872952025900121</v>
      </c>
      <c r="HO37" s="262">
        <f t="shared" si="53"/>
        <v>0.67430450478815518</v>
      </c>
      <c r="HP37" s="262">
        <f t="shared" si="53"/>
        <v>0.67430450478815518</v>
      </c>
      <c r="HQ37" s="262">
        <f t="shared" si="53"/>
        <v>0.69111430194276358</v>
      </c>
      <c r="HR37" s="262">
        <f t="shared" si="53"/>
        <v>0.48991508496530134</v>
      </c>
      <c r="HS37" s="262">
        <f t="shared" si="53"/>
        <v>0.69111430194276358</v>
      </c>
      <c r="HT37" s="262">
        <f t="shared" si="53"/>
        <v>0.67430450478815518</v>
      </c>
      <c r="HU37" s="262">
        <f t="shared" si="53"/>
        <v>0.69111430194276358</v>
      </c>
      <c r="HV37" s="262">
        <f t="shared" si="53"/>
        <v>0.69111430194276358</v>
      </c>
      <c r="HW37" s="262">
        <f t="shared" si="53"/>
        <v>0.84244159833323384</v>
      </c>
      <c r="HX37" s="262">
        <f t="shared" si="53"/>
        <v>0.75891141270205342</v>
      </c>
      <c r="HY37" s="262">
        <f t="shared" si="53"/>
        <v>0.69111430194276358</v>
      </c>
      <c r="HZ37" s="262">
        <f t="shared" si="53"/>
        <v>0.69111430194276358</v>
      </c>
      <c r="IA37" s="262">
        <f t="shared" si="53"/>
        <v>0.48991508496530134</v>
      </c>
      <c r="IB37" s="262">
        <f t="shared" si="53"/>
        <v>0.75891141270205342</v>
      </c>
      <c r="IC37" s="262">
        <f t="shared" si="53"/>
        <v>0.67430450478815518</v>
      </c>
      <c r="ID37" s="262">
        <f t="shared" si="53"/>
        <v>0.66980463057488648</v>
      </c>
      <c r="IE37" s="262">
        <f t="shared" si="53"/>
        <v>0.75891141270205342</v>
      </c>
      <c r="IF37" s="262">
        <f t="shared" si="53"/>
        <v>0.67430450478815518</v>
      </c>
      <c r="IG37" s="262">
        <f t="shared" si="53"/>
        <v>0.69111430194276358</v>
      </c>
      <c r="IH37" s="262">
        <f t="shared" si="53"/>
        <v>0.67430450478815518</v>
      </c>
      <c r="II37" s="262">
        <f t="shared" si="53"/>
        <v>0.69111430194276358</v>
      </c>
      <c r="IJ37" s="262">
        <f t="shared" si="53"/>
        <v>0.69111430194276358</v>
      </c>
      <c r="IK37" s="262">
        <f t="shared" si="53"/>
        <v>0.1603264528290162</v>
      </c>
      <c r="IL37" s="262">
        <f t="shared" si="53"/>
        <v>0.69111430194276358</v>
      </c>
      <c r="IM37" s="262">
        <f t="shared" si="53"/>
        <v>0.69111430194276358</v>
      </c>
      <c r="IN37" s="262">
        <f t="shared" si="53"/>
        <v>0.24717184772615222</v>
      </c>
      <c r="IO37" s="262">
        <f t="shared" si="53"/>
        <v>0.48991508496530134</v>
      </c>
      <c r="IP37" s="262">
        <f t="shared" si="53"/>
        <v>0.69111430194276358</v>
      </c>
      <c r="IQ37" s="262">
        <f t="shared" si="53"/>
        <v>0.69111430194276358</v>
      </c>
      <c r="IR37" s="262">
        <f t="shared" si="53"/>
        <v>0.69111430194276358</v>
      </c>
      <c r="IS37" s="262">
        <f t="shared" si="53"/>
        <v>0.7996694375577269</v>
      </c>
      <c r="IT37" s="262">
        <f t="shared" si="53"/>
        <v>0.69111430194276358</v>
      </c>
      <c r="IU37" s="262">
        <f t="shared" si="53"/>
        <v>0.69111430194276358</v>
      </c>
      <c r="IV37" s="262">
        <f t="shared" si="53"/>
        <v>0.53496987009316554</v>
      </c>
      <c r="IW37" s="262">
        <f t="shared" si="53"/>
        <v>0.69111430194276358</v>
      </c>
      <c r="IX37" s="262">
        <f t="shared" si="53"/>
        <v>0.48991508496530134</v>
      </c>
      <c r="IY37" s="262">
        <f t="shared" si="53"/>
        <v>0.67430450478815518</v>
      </c>
      <c r="IZ37" s="262">
        <f t="shared" si="53"/>
        <v>0.28181489046495478</v>
      </c>
      <c r="JA37" s="262">
        <f t="shared" si="53"/>
        <v>0.75891141270205342</v>
      </c>
      <c r="JB37" s="262">
        <f t="shared" si="53"/>
        <v>0.48991508496530134</v>
      </c>
      <c r="JC37" s="262">
        <f t="shared" si="53"/>
        <v>0.4864498043418975</v>
      </c>
      <c r="JD37" s="262">
        <f t="shared" si="53"/>
        <v>0.43753201213506165</v>
      </c>
      <c r="JE37" s="262">
        <f t="shared" si="53"/>
        <v>0.30315937163330242</v>
      </c>
      <c r="JF37" s="262">
        <f t="shared" si="53"/>
        <v>0.69111430194276358</v>
      </c>
      <c r="JG37" s="262">
        <f t="shared" si="53"/>
        <v>0.69111430194276358</v>
      </c>
      <c r="JH37" s="262">
        <f t="shared" si="53"/>
        <v>0.63947487924699664</v>
      </c>
      <c r="JI37" s="262">
        <f t="shared" ref="JI37:LT37" si="54">IF(JI35&lt;&gt;"",JI35,AVERAGEIF($9:$9,JI$9,35:35))</f>
        <v>0.69111430194276358</v>
      </c>
      <c r="JJ37" s="262">
        <f t="shared" si="54"/>
        <v>0.44119172729109374</v>
      </c>
      <c r="JK37" s="262">
        <f t="shared" si="54"/>
        <v>0.75891141270205342</v>
      </c>
      <c r="JL37" s="262">
        <f t="shared" si="54"/>
        <v>0.75891141270205342</v>
      </c>
      <c r="JM37" s="262">
        <f t="shared" si="54"/>
        <v>0.69111430194276358</v>
      </c>
      <c r="JN37" s="262">
        <f t="shared" si="54"/>
        <v>0.75891141270205342</v>
      </c>
      <c r="JO37" s="262">
        <f t="shared" si="54"/>
        <v>0.69111430194276358</v>
      </c>
      <c r="JP37" s="262">
        <f t="shared" si="54"/>
        <v>0.67430450478815518</v>
      </c>
      <c r="JQ37" s="262">
        <f t="shared" si="54"/>
        <v>0.48991508496530134</v>
      </c>
      <c r="JR37" s="262">
        <f t="shared" si="54"/>
        <v>0.75891141270205342</v>
      </c>
      <c r="JS37" s="262">
        <f t="shared" si="54"/>
        <v>0.67430450478815518</v>
      </c>
      <c r="JT37" s="262">
        <f t="shared" si="54"/>
        <v>0.67430450478815518</v>
      </c>
      <c r="JU37" s="262">
        <f t="shared" si="54"/>
        <v>0.69111430194276358</v>
      </c>
      <c r="JV37" s="262">
        <f t="shared" si="54"/>
        <v>0.69111430194276358</v>
      </c>
      <c r="JW37" s="262">
        <f t="shared" si="54"/>
        <v>0.69111430194276358</v>
      </c>
      <c r="JX37" s="262">
        <f t="shared" si="54"/>
        <v>0.75891141270205342</v>
      </c>
      <c r="JY37" s="262">
        <f t="shared" si="54"/>
        <v>0.6734634483511287</v>
      </c>
      <c r="JZ37" s="262">
        <f t="shared" si="54"/>
        <v>0.69111430194276358</v>
      </c>
      <c r="KA37" s="262">
        <f t="shared" si="54"/>
        <v>0.69111430194276358</v>
      </c>
      <c r="KB37" s="262">
        <f t="shared" si="54"/>
        <v>0.69111430194276358</v>
      </c>
      <c r="KC37" s="262">
        <f t="shared" si="54"/>
        <v>0.67430450478815518</v>
      </c>
      <c r="KD37" s="262">
        <f t="shared" si="54"/>
        <v>0.69111430194276358</v>
      </c>
      <c r="KE37" s="262">
        <f t="shared" si="54"/>
        <v>0.69111430194276358</v>
      </c>
      <c r="KF37" s="262">
        <f t="shared" si="54"/>
        <v>0.75891141270205342</v>
      </c>
      <c r="KG37" s="262">
        <f t="shared" si="54"/>
        <v>0.75891141270205342</v>
      </c>
      <c r="KH37" s="262">
        <f t="shared" si="54"/>
        <v>0.64505612221135489</v>
      </c>
      <c r="KI37" s="262">
        <f t="shared" si="54"/>
        <v>0.75891141270205342</v>
      </c>
      <c r="KJ37" s="262">
        <f t="shared" si="54"/>
        <v>0.67430450478815518</v>
      </c>
      <c r="KK37" s="262">
        <f t="shared" si="54"/>
        <v>0.28181489046495478</v>
      </c>
      <c r="KL37" s="262">
        <f t="shared" si="54"/>
        <v>0.75891141270205342</v>
      </c>
      <c r="KM37" s="262">
        <f t="shared" si="54"/>
        <v>0.69111430194276358</v>
      </c>
      <c r="KN37" s="262">
        <f t="shared" si="54"/>
        <v>0.69111430194276358</v>
      </c>
      <c r="KO37" s="262">
        <f t="shared" si="54"/>
        <v>0.75891141270205342</v>
      </c>
      <c r="KP37" s="262">
        <f t="shared" si="54"/>
        <v>0.78772287287801235</v>
      </c>
      <c r="KQ37" s="262">
        <f t="shared" si="54"/>
        <v>0.67430450478815518</v>
      </c>
      <c r="KR37" s="262">
        <f t="shared" si="54"/>
        <v>0.67430450478815518</v>
      </c>
      <c r="KS37" s="262">
        <f t="shared" si="54"/>
        <v>0.67430450478815518</v>
      </c>
      <c r="KT37" s="262">
        <f t="shared" si="54"/>
        <v>0.28181489046495478</v>
      </c>
      <c r="KU37" s="262">
        <f t="shared" si="54"/>
        <v>0.78293235315957532</v>
      </c>
      <c r="KV37" s="262">
        <f t="shared" si="54"/>
        <v>0.85555551029884369</v>
      </c>
      <c r="KW37" s="262">
        <f t="shared" si="54"/>
        <v>0.69111430194276358</v>
      </c>
      <c r="KX37" s="262">
        <f t="shared" si="54"/>
        <v>0.67430450478815518</v>
      </c>
      <c r="KY37" s="262">
        <f t="shared" si="54"/>
        <v>0.67430450478815518</v>
      </c>
      <c r="KZ37" s="262">
        <f t="shared" si="54"/>
        <v>0.85486232465876355</v>
      </c>
      <c r="LA37" s="262">
        <f t="shared" si="54"/>
        <v>0.75891141270205342</v>
      </c>
      <c r="LB37" s="262">
        <f t="shared" si="54"/>
        <v>0.48991508496530134</v>
      </c>
      <c r="LC37" s="262">
        <f t="shared" si="54"/>
        <v>0.44031114555526857</v>
      </c>
      <c r="LD37" s="262">
        <f t="shared" si="54"/>
        <v>0.48991508496530134</v>
      </c>
      <c r="LE37" s="262">
        <f t="shared" si="54"/>
        <v>0.67430450478815518</v>
      </c>
      <c r="LF37" s="262">
        <f t="shared" si="54"/>
        <v>0.69111430194276358</v>
      </c>
      <c r="LG37" s="262">
        <f t="shared" si="54"/>
        <v>0.28181489046495478</v>
      </c>
      <c r="LH37" s="262">
        <f t="shared" si="54"/>
        <v>0.75891141270205342</v>
      </c>
      <c r="LI37" s="262">
        <f t="shared" si="54"/>
        <v>0.48991508496530134</v>
      </c>
      <c r="LJ37" s="262">
        <f t="shared" si="54"/>
        <v>0.69111430194276358</v>
      </c>
      <c r="LK37" s="262">
        <f t="shared" si="54"/>
        <v>0.48991508496530134</v>
      </c>
      <c r="LL37" s="262">
        <f t="shared" si="54"/>
        <v>0.69111430194276358</v>
      </c>
      <c r="LM37" s="262">
        <f t="shared" si="54"/>
        <v>0.67430450478815518</v>
      </c>
      <c r="LN37" s="262">
        <f t="shared" si="54"/>
        <v>0.75891141270205342</v>
      </c>
      <c r="LO37" s="262">
        <f t="shared" si="54"/>
        <v>0.69111430194276358</v>
      </c>
      <c r="LP37" s="262">
        <f t="shared" si="54"/>
        <v>0.67430450478815518</v>
      </c>
      <c r="LQ37" s="262">
        <f t="shared" si="54"/>
        <v>0.48991508496530134</v>
      </c>
      <c r="LR37" s="262">
        <f t="shared" si="54"/>
        <v>0.55580072000929048</v>
      </c>
      <c r="LS37" s="262">
        <f t="shared" si="54"/>
        <v>0.22617759858393158</v>
      </c>
      <c r="LT37" s="262">
        <f t="shared" si="54"/>
        <v>0.69111430194276358</v>
      </c>
      <c r="LU37" s="262">
        <f t="shared" ref="LU37:NC37" si="55">IF(LU35&lt;&gt;"",LU35,AVERAGEIF($9:$9,LU$9,35:35))</f>
        <v>0.67430450478815518</v>
      </c>
      <c r="LV37" s="262">
        <f t="shared" si="55"/>
        <v>0.48991508496530134</v>
      </c>
      <c r="LW37" s="262">
        <f t="shared" si="55"/>
        <v>0.75891141270205342</v>
      </c>
      <c r="LX37" s="262">
        <f t="shared" si="55"/>
        <v>0.75891141270205342</v>
      </c>
      <c r="LY37" s="262">
        <f t="shared" si="55"/>
        <v>0.75891141270205342</v>
      </c>
      <c r="LZ37" s="262">
        <f t="shared" si="55"/>
        <v>0.75891141270205342</v>
      </c>
      <c r="MA37" s="262">
        <f t="shared" si="55"/>
        <v>0.80263602568435277</v>
      </c>
      <c r="MB37" s="262">
        <f t="shared" si="55"/>
        <v>0.75891141270205342</v>
      </c>
      <c r="MC37" s="262">
        <f t="shared" si="55"/>
        <v>0.67430450478815518</v>
      </c>
      <c r="MD37" s="262">
        <f t="shared" si="55"/>
        <v>0.69111430194276358</v>
      </c>
      <c r="ME37" s="262">
        <f t="shared" si="55"/>
        <v>0.69111430194276358</v>
      </c>
      <c r="MF37" s="262">
        <f t="shared" si="55"/>
        <v>0.69111430194276358</v>
      </c>
      <c r="MG37" s="262">
        <f t="shared" si="55"/>
        <v>0.77245177935214382</v>
      </c>
      <c r="MH37" s="262">
        <f t="shared" si="55"/>
        <v>0.69111430194276358</v>
      </c>
      <c r="MI37" s="262">
        <f t="shared" si="55"/>
        <v>0.75972218739813957</v>
      </c>
      <c r="MJ37" s="262">
        <f t="shared" si="55"/>
        <v>0.67430450478815518</v>
      </c>
      <c r="MK37" s="262">
        <f t="shared" si="55"/>
        <v>0.69111430194276358</v>
      </c>
      <c r="ML37" s="262">
        <f t="shared" si="55"/>
        <v>0.62972936123798484</v>
      </c>
      <c r="MM37" s="262">
        <f t="shared" si="55"/>
        <v>0.75891141270205342</v>
      </c>
      <c r="MN37" s="262">
        <f t="shared" si="55"/>
        <v>0.60018438526160944</v>
      </c>
      <c r="MO37" s="262">
        <f t="shared" si="55"/>
        <v>0.69111430194276358</v>
      </c>
      <c r="MP37" s="262">
        <f t="shared" si="55"/>
        <v>0.33708902844477279</v>
      </c>
      <c r="MQ37" s="262">
        <f t="shared" si="55"/>
        <v>0.69111430194276358</v>
      </c>
      <c r="MR37" s="262">
        <f t="shared" si="55"/>
        <v>0.48991508496530134</v>
      </c>
      <c r="MS37" s="262">
        <f t="shared" si="55"/>
        <v>0.41717226089574572</v>
      </c>
      <c r="MT37" s="262">
        <f t="shared" si="55"/>
        <v>0.48991508496530134</v>
      </c>
      <c r="MU37" s="262">
        <f t="shared" si="55"/>
        <v>0.67430450478815518</v>
      </c>
      <c r="MV37" s="262">
        <f t="shared" si="55"/>
        <v>0.12353998203054807</v>
      </c>
      <c r="MW37" s="262">
        <f t="shared" si="55"/>
        <v>0.69111430194276358</v>
      </c>
      <c r="MX37" s="262">
        <f t="shared" si="55"/>
        <v>0.67430450478815518</v>
      </c>
      <c r="MY37" s="262">
        <f t="shared" si="55"/>
        <v>0.69111430194276358</v>
      </c>
      <c r="MZ37" s="262">
        <f t="shared" si="55"/>
        <v>0.48991508496530134</v>
      </c>
      <c r="NA37" s="262">
        <f t="shared" si="55"/>
        <v>0.69111430194276358</v>
      </c>
      <c r="NB37" s="262">
        <f t="shared" si="55"/>
        <v>0.41099453741437614</v>
      </c>
      <c r="NC37" s="262">
        <f t="shared" si="55"/>
        <v>0.57544297120387478</v>
      </c>
      <c r="ND37" s="262">
        <f t="shared" ref="ND37" si="56">IF(ND35&lt;&gt;"",ND35,AVERAGEIF($9:$9,ND$9,35:35))</f>
        <v>0.6</v>
      </c>
    </row>
    <row r="38" spans="1:368" s="255" customFormat="1" ht="14.4" x14ac:dyDescent="0.3">
      <c r="A38" s="254"/>
      <c r="B38" s="257"/>
      <c r="K38" s="255">
        <f t="shared" si="6"/>
        <v>37</v>
      </c>
    </row>
    <row r="39" spans="1:368" s="255" customFormat="1" ht="14.4" x14ac:dyDescent="0.3">
      <c r="A39" s="254"/>
      <c r="B39" s="257"/>
      <c r="D39" s="254" t="s">
        <v>410</v>
      </c>
      <c r="K39" s="255">
        <f t="shared" si="6"/>
        <v>38</v>
      </c>
    </row>
    <row r="40" spans="1:368" s="255" customFormat="1" ht="14.4" x14ac:dyDescent="0.3">
      <c r="A40" s="254"/>
      <c r="B40" s="257"/>
      <c r="E40" s="255" t="s">
        <v>675</v>
      </c>
      <c r="F40" s="255" t="s">
        <v>407</v>
      </c>
      <c r="G40" s="255" t="s">
        <v>12</v>
      </c>
      <c r="H40" s="255" t="s">
        <v>1162</v>
      </c>
      <c r="K40" s="255">
        <f t="shared" si="6"/>
        <v>39</v>
      </c>
      <c r="M40" s="263">
        <v>29.914135559044993</v>
      </c>
      <c r="N40" s="263">
        <v>39.856628381310898</v>
      </c>
      <c r="O40" s="263">
        <v>28.6974485208363</v>
      </c>
      <c r="P40" s="263">
        <v>40.377912375851025</v>
      </c>
      <c r="Q40" s="263">
        <v>27.780975991063229</v>
      </c>
      <c r="R40" s="263">
        <v>30.878095102216729</v>
      </c>
      <c r="S40" s="263">
        <v>127.50772845142563</v>
      </c>
      <c r="T40" s="263">
        <v>115.41302759817626</v>
      </c>
      <c r="U40" s="263">
        <v>256.3018988759959</v>
      </c>
      <c r="V40" s="263">
        <v>143.2237835806929</v>
      </c>
      <c r="W40" s="263">
        <v>9.4829151163229088</v>
      </c>
      <c r="X40" s="263">
        <v>59.15969689555061</v>
      </c>
      <c r="Y40" s="263">
        <v>2.3775701284686703</v>
      </c>
      <c r="Z40" s="263">
        <v>179.15964804218422</v>
      </c>
      <c r="AA40" s="263">
        <v>103.32100962703977</v>
      </c>
      <c r="AB40" s="263">
        <v>229.71614686623798</v>
      </c>
      <c r="AC40" s="263">
        <v>207.87104755000769</v>
      </c>
      <c r="AD40" s="263">
        <v>16.08870745475166</v>
      </c>
      <c r="AE40" s="263">
        <v>165.39673109112186</v>
      </c>
      <c r="AF40" s="263">
        <v>88.283723672341011</v>
      </c>
      <c r="AG40" s="263">
        <v>20.27963760334217</v>
      </c>
      <c r="AH40" s="263">
        <v>8.8111214352480332</v>
      </c>
      <c r="AI40" s="263">
        <v>29.216854497897387</v>
      </c>
      <c r="AJ40" s="263">
        <v>51.286242758767713</v>
      </c>
      <c r="AK40" s="263">
        <v>57.426286762393758</v>
      </c>
      <c r="AL40" s="263">
        <v>23.667044559113489</v>
      </c>
      <c r="AM40" s="263">
        <v>48.020370362711617</v>
      </c>
      <c r="AN40" s="263">
        <v>9.4517936838130492</v>
      </c>
      <c r="AO40" s="263">
        <v>18.692712833550683</v>
      </c>
      <c r="AP40" s="263">
        <v>41.72874351970566</v>
      </c>
      <c r="AQ40" s="263">
        <v>23.245295490962647</v>
      </c>
      <c r="AR40" s="263">
        <v>12.601765572591052</v>
      </c>
      <c r="AS40" s="263">
        <v>29.897769978156187</v>
      </c>
      <c r="AT40" s="263">
        <v>100.75295486855387</v>
      </c>
      <c r="AU40" s="263">
        <v>45.166588659199853</v>
      </c>
      <c r="AV40" s="263">
        <v>30.131449010191417</v>
      </c>
      <c r="AW40" s="263">
        <v>31.71676405071516</v>
      </c>
      <c r="AX40" s="263">
        <v>32.95249955192557</v>
      </c>
      <c r="AY40" s="263">
        <v>52.260128965757247</v>
      </c>
      <c r="AZ40" s="263">
        <v>50.571522963886132</v>
      </c>
      <c r="BA40" s="263">
        <v>24.962608331441992</v>
      </c>
      <c r="BB40" s="263">
        <v>10.819526984979071</v>
      </c>
      <c r="BC40" s="263">
        <v>18.284914752387017</v>
      </c>
      <c r="BD40" s="263">
        <v>34.388378058759734</v>
      </c>
      <c r="BE40" s="263">
        <v>9.0037523709556062</v>
      </c>
      <c r="BF40" s="263">
        <v>33.417174733883115</v>
      </c>
      <c r="BG40" s="263">
        <v>32.503921662645539</v>
      </c>
      <c r="BH40" s="263">
        <v>28.010362411717789</v>
      </c>
      <c r="BI40" s="263">
        <v>34.493547037586147</v>
      </c>
      <c r="BJ40" s="263">
        <v>34.781688576513631</v>
      </c>
      <c r="BK40" s="263">
        <v>190.7145530143143</v>
      </c>
      <c r="BL40" s="263">
        <v>20.691728295886502</v>
      </c>
      <c r="BM40" s="263">
        <v>39.176517765685972</v>
      </c>
      <c r="BN40" s="263">
        <v>28.087092840147267</v>
      </c>
      <c r="BO40" s="263">
        <v>49.636806835745212</v>
      </c>
      <c r="BP40" s="263">
        <v>13.896256192074389</v>
      </c>
      <c r="BQ40" s="263">
        <v>28.410111846542694</v>
      </c>
      <c r="BR40" s="263">
        <v>22.341969083542875</v>
      </c>
      <c r="BS40" s="263">
        <v>83.753408936466272</v>
      </c>
      <c r="BT40" s="263">
        <v>40.982365715891639</v>
      </c>
      <c r="BU40" s="263">
        <v>46.986924172815279</v>
      </c>
      <c r="BV40" s="263">
        <v>23.821578568817614</v>
      </c>
      <c r="BW40" s="263">
        <v>34.573765212762424</v>
      </c>
      <c r="BX40" s="263">
        <v>26.860747426332068</v>
      </c>
      <c r="BY40" s="263">
        <v>29.244219895449159</v>
      </c>
      <c r="BZ40" s="263">
        <v>26.950623977114851</v>
      </c>
      <c r="CA40" s="263">
        <v>84.013111924996807</v>
      </c>
      <c r="CB40" s="263">
        <v>30.411541902780147</v>
      </c>
      <c r="CC40" s="263">
        <v>36.833288528262663</v>
      </c>
      <c r="CD40" s="263">
        <v>96.149665739207734</v>
      </c>
      <c r="CE40" s="263">
        <v>24.336960222709322</v>
      </c>
      <c r="CF40" s="263">
        <v>26.449193310210319</v>
      </c>
      <c r="CG40" s="263">
        <v>12.976832491977104</v>
      </c>
      <c r="CH40" s="263">
        <v>77.046203654169176</v>
      </c>
      <c r="CI40" s="263">
        <v>31.813347806780236</v>
      </c>
      <c r="CJ40" s="263">
        <v>138.73237063545548</v>
      </c>
      <c r="CK40" s="263">
        <v>23.014299341040338</v>
      </c>
      <c r="CL40" s="263">
        <v>28.702277708639556</v>
      </c>
      <c r="CM40" s="263">
        <v>44.033607542914226</v>
      </c>
      <c r="CN40" s="263">
        <v>21.088258272175906</v>
      </c>
      <c r="CO40" s="263">
        <v>26.306195693591746</v>
      </c>
      <c r="CP40" s="263">
        <v>43.707100789772007</v>
      </c>
      <c r="CQ40" s="263">
        <v>33.048278443356779</v>
      </c>
      <c r="CR40" s="263">
        <v>122.63185849940696</v>
      </c>
      <c r="CS40" s="263">
        <v>10.102929172618451</v>
      </c>
      <c r="CT40" s="263">
        <v>21.661590179706661</v>
      </c>
      <c r="CU40" s="263">
        <v>29.713992553421246</v>
      </c>
      <c r="CV40" s="263">
        <v>221.17197220122537</v>
      </c>
      <c r="CW40" s="263">
        <v>33.413686987136323</v>
      </c>
      <c r="CX40" s="263">
        <v>162.67870322252381</v>
      </c>
      <c r="CY40" s="263">
        <v>23.372464103115004</v>
      </c>
      <c r="CZ40" s="263">
        <v>188.17440022980276</v>
      </c>
      <c r="DA40" s="263">
        <v>38.811914086540298</v>
      </c>
      <c r="DB40" s="263">
        <v>31.582351656857924</v>
      </c>
      <c r="DC40" s="263">
        <v>57.522602230247536</v>
      </c>
      <c r="DD40" s="263">
        <v>62.296790950186598</v>
      </c>
      <c r="DE40" s="263">
        <v>29.078954357293362</v>
      </c>
      <c r="DF40" s="263">
        <v>47.225432392653765</v>
      </c>
      <c r="DG40" s="263">
        <v>33.328371335945498</v>
      </c>
      <c r="DH40" s="263">
        <v>21.23688994123161</v>
      </c>
      <c r="DI40" s="263">
        <v>29.085393274364364</v>
      </c>
      <c r="DJ40" s="263">
        <v>59.346962067032351</v>
      </c>
      <c r="DK40" s="263">
        <v>54.89847523560163</v>
      </c>
      <c r="DL40" s="263">
        <v>29.223561703179683</v>
      </c>
      <c r="DM40" s="263">
        <v>56.724176513442899</v>
      </c>
      <c r="DN40" s="263">
        <v>45.542997019642364</v>
      </c>
      <c r="DO40" s="263">
        <v>89.515971426804626</v>
      </c>
      <c r="DP40" s="263">
        <v>13.926036183527788</v>
      </c>
      <c r="DQ40" s="263">
        <v>433.85235422685133</v>
      </c>
      <c r="DR40" s="263">
        <v>195.79941948292938</v>
      </c>
      <c r="DS40" s="263">
        <v>13.348679952827656</v>
      </c>
      <c r="DT40" s="263">
        <v>28.611328005011607</v>
      </c>
      <c r="DU40" s="263">
        <v>11.868265602919044</v>
      </c>
      <c r="DV40" s="263">
        <v>75.854199131399341</v>
      </c>
      <c r="DW40" s="263">
        <v>181.31534381991449</v>
      </c>
      <c r="DX40" s="263">
        <v>43.192255712302888</v>
      </c>
      <c r="DY40" s="263">
        <v>71.661659253541089</v>
      </c>
      <c r="DZ40" s="263">
        <v>61.986918066144476</v>
      </c>
      <c r="EA40" s="263">
        <v>25.984786416464068</v>
      </c>
      <c r="EB40" s="263">
        <v>22.103460863704392</v>
      </c>
      <c r="EC40" s="263">
        <v>16.825426882959174</v>
      </c>
      <c r="ED40" s="263">
        <v>50.891054223534766</v>
      </c>
      <c r="EE40" s="263">
        <v>28.932737282139286</v>
      </c>
      <c r="EF40" s="263">
        <v>21.950000006845436</v>
      </c>
      <c r="EG40" s="263">
        <v>65.902852798160808</v>
      </c>
      <c r="EH40" s="263">
        <v>71.020182140342186</v>
      </c>
      <c r="EI40" s="263">
        <v>130.28746260862084</v>
      </c>
      <c r="EJ40" s="263">
        <v>17.566170634336061</v>
      </c>
      <c r="EK40" s="263">
        <v>32.02207603516532</v>
      </c>
      <c r="EL40" s="263">
        <v>78.547812772769859</v>
      </c>
      <c r="EM40" s="263">
        <v>50.966174922696496</v>
      </c>
      <c r="EN40" s="263">
        <v>52.714072619263113</v>
      </c>
      <c r="EO40" s="263">
        <v>123.14080123622766</v>
      </c>
      <c r="EP40" s="263">
        <v>35.98120516919964</v>
      </c>
      <c r="EQ40" s="263">
        <v>106.11603621227862</v>
      </c>
      <c r="ER40" s="263">
        <v>169.16564388335024</v>
      </c>
      <c r="ES40" s="263">
        <v>18.260232236948163</v>
      </c>
      <c r="ET40" s="263">
        <v>54.853134527893303</v>
      </c>
      <c r="EU40" s="263">
        <v>30.533344750706661</v>
      </c>
      <c r="EV40" s="263">
        <v>17.373003122205908</v>
      </c>
      <c r="EW40" s="263">
        <v>100.95926850303732</v>
      </c>
      <c r="EX40" s="263">
        <v>103.7698558045311</v>
      </c>
      <c r="EY40" s="263">
        <v>44.329261151757883</v>
      </c>
      <c r="EZ40" s="263">
        <v>47.789910789211888</v>
      </c>
      <c r="FA40" s="263">
        <v>48.947842709147658</v>
      </c>
      <c r="FB40" s="263">
        <v>79.068291902676108</v>
      </c>
      <c r="FC40" s="263">
        <v>88.586084486466959</v>
      </c>
      <c r="FD40" s="263">
        <v>44.896422430428927</v>
      </c>
      <c r="FE40" s="263">
        <v>51.13331847833134</v>
      </c>
      <c r="FF40" s="263">
        <v>47.31745524912688</v>
      </c>
      <c r="FG40" s="263">
        <v>35.26058303366964</v>
      </c>
      <c r="FH40" s="263">
        <v>39.963943665827649</v>
      </c>
      <c r="FI40" s="263">
        <v>25.668474615350942</v>
      </c>
      <c r="FJ40" s="263">
        <v>61.88979773365682</v>
      </c>
      <c r="FK40" s="263">
        <v>15.059285588024705</v>
      </c>
      <c r="FL40" s="263">
        <v>68.674001732594661</v>
      </c>
      <c r="FM40" s="263">
        <v>69.287576871819212</v>
      </c>
      <c r="FN40" s="263">
        <v>24.069208587840023</v>
      </c>
      <c r="FO40" s="263">
        <v>33.672853399244275</v>
      </c>
      <c r="FP40" s="263">
        <v>60.964471692911111</v>
      </c>
      <c r="FQ40" s="263">
        <v>27.368617010307602</v>
      </c>
      <c r="FR40" s="263">
        <v>17.406270860406099</v>
      </c>
      <c r="FS40" s="263">
        <v>61.465634071604342</v>
      </c>
      <c r="FT40" s="263">
        <v>11.139326532838997</v>
      </c>
      <c r="FU40" s="263">
        <v>32.756380869471208</v>
      </c>
      <c r="FV40" s="263">
        <v>65.567760822257256</v>
      </c>
      <c r="FW40" s="263">
        <v>11.269446315315559</v>
      </c>
      <c r="FX40" s="263">
        <v>154.61208157361074</v>
      </c>
      <c r="FY40" s="263">
        <v>122.88458599444392</v>
      </c>
      <c r="FZ40" s="263">
        <v>24.994534628585725</v>
      </c>
      <c r="GA40" s="263">
        <v>77.055325453353106</v>
      </c>
      <c r="GB40" s="263">
        <v>104.56372062174378</v>
      </c>
      <c r="GC40" s="263">
        <v>41.772742786357526</v>
      </c>
      <c r="GD40" s="263">
        <v>32.574213174004015</v>
      </c>
      <c r="GE40" s="263">
        <v>45.830333693935977</v>
      </c>
      <c r="GF40" s="263">
        <v>27.555077317155462</v>
      </c>
      <c r="GG40" s="263">
        <v>33.597464411871258</v>
      </c>
      <c r="GH40" s="263">
        <v>30.75709711892409</v>
      </c>
      <c r="GI40" s="263">
        <v>13.572968897467669</v>
      </c>
      <c r="GJ40" s="263">
        <v>9.6801069516224416</v>
      </c>
      <c r="GK40" s="263">
        <v>29.952500773259732</v>
      </c>
      <c r="GL40" s="263">
        <v>31.333111908567762</v>
      </c>
      <c r="GM40" s="263">
        <v>32.393118631381995</v>
      </c>
      <c r="GN40" s="263">
        <v>43.663369811331428</v>
      </c>
      <c r="GO40" s="263">
        <v>133.9053291378919</v>
      </c>
      <c r="GP40" s="263">
        <v>47.102019815459499</v>
      </c>
      <c r="GQ40" s="263">
        <v>24.697807866896905</v>
      </c>
      <c r="GR40" s="263">
        <v>85.263871566039569</v>
      </c>
      <c r="GS40" s="263">
        <v>48.375315666250778</v>
      </c>
      <c r="GT40" s="263">
        <v>55.372272216743099</v>
      </c>
      <c r="GU40" s="263">
        <v>19.161948915100183</v>
      </c>
      <c r="GV40" s="263">
        <v>38.781865806875615</v>
      </c>
      <c r="GW40" s="263">
        <v>78.650567157694638</v>
      </c>
      <c r="GX40" s="263">
        <v>12.167406958509494</v>
      </c>
      <c r="GY40" s="263">
        <v>39.300466919302828</v>
      </c>
      <c r="GZ40" s="263">
        <v>46.044159398335601</v>
      </c>
      <c r="HA40" s="263">
        <v>45.556143141995669</v>
      </c>
      <c r="HB40" s="263">
        <v>12.662130420131726</v>
      </c>
      <c r="HC40" s="263">
        <v>10.436411419254261</v>
      </c>
      <c r="HD40" s="263">
        <v>21.943829377985722</v>
      </c>
      <c r="HE40" s="263">
        <v>16.233851377060567</v>
      </c>
      <c r="HF40" s="263">
        <v>87.394616540119699</v>
      </c>
      <c r="HG40" s="263">
        <v>26.14602763145049</v>
      </c>
      <c r="HH40" s="263">
        <v>46.693416869661959</v>
      </c>
      <c r="HI40" s="263">
        <v>143.84352934877714</v>
      </c>
      <c r="HJ40" s="263">
        <v>117.34926361906977</v>
      </c>
      <c r="HK40" s="263">
        <v>55.449270933383865</v>
      </c>
      <c r="HL40" s="263">
        <v>7.3250730329022904</v>
      </c>
      <c r="HM40" s="263">
        <v>43.584761365422914</v>
      </c>
      <c r="HN40" s="263">
        <v>63.319505611631264</v>
      </c>
      <c r="HO40" s="263">
        <v>44.528599292747749</v>
      </c>
      <c r="HP40" s="263">
        <v>23.103907603611823</v>
      </c>
      <c r="HQ40" s="263">
        <v>34.039335095868992</v>
      </c>
      <c r="HR40" s="263">
        <v>21.07001467380806</v>
      </c>
      <c r="HS40" s="263">
        <v>17.62599890545415</v>
      </c>
      <c r="HT40" s="263">
        <v>31.084140448488892</v>
      </c>
      <c r="HU40" s="263">
        <v>60.775865080372924</v>
      </c>
      <c r="HV40" s="263">
        <v>36.224810865052675</v>
      </c>
      <c r="HW40" s="263">
        <v>39.462781287134412</v>
      </c>
      <c r="HX40" s="263">
        <v>18.910026284697107</v>
      </c>
      <c r="HY40" s="263">
        <v>17.517878756303524</v>
      </c>
      <c r="HZ40" s="263">
        <v>36.728924414070121</v>
      </c>
      <c r="IA40" s="263">
        <v>72.973320318547096</v>
      </c>
      <c r="IB40" s="263">
        <v>30.446955946670673</v>
      </c>
      <c r="IC40" s="263">
        <v>12.511620733596979</v>
      </c>
      <c r="ID40" s="263">
        <v>10.793234740272467</v>
      </c>
      <c r="IE40" s="263">
        <v>39.41717229121479</v>
      </c>
      <c r="IF40" s="263">
        <v>104.01024204184861</v>
      </c>
      <c r="IG40" s="263">
        <v>48.289195150426082</v>
      </c>
      <c r="IH40" s="263">
        <v>14.044351284707508</v>
      </c>
      <c r="II40" s="263">
        <v>8.6128564471033311</v>
      </c>
      <c r="IJ40" s="263">
        <v>47.775154937590834</v>
      </c>
      <c r="IK40" s="263">
        <v>40.69449246517545</v>
      </c>
      <c r="IL40" s="263">
        <v>52.200837271061744</v>
      </c>
      <c r="IM40" s="263">
        <v>17.198079208443598</v>
      </c>
      <c r="IN40" s="263">
        <v>51.493361257885041</v>
      </c>
      <c r="IO40" s="263">
        <v>118.59009659629473</v>
      </c>
      <c r="IP40" s="263">
        <v>28.547743698935431</v>
      </c>
      <c r="IQ40" s="263">
        <v>40.14637964950613</v>
      </c>
      <c r="IR40" s="263">
        <v>24.523152241345887</v>
      </c>
      <c r="IS40" s="263">
        <v>28.941859081323209</v>
      </c>
      <c r="IT40" s="263">
        <v>5.6474668476941448</v>
      </c>
      <c r="IU40" s="263">
        <v>13.111244885834338</v>
      </c>
      <c r="IV40" s="263">
        <v>53.087529809381415</v>
      </c>
      <c r="IW40" s="263">
        <v>21.112135922980887</v>
      </c>
      <c r="IX40" s="263">
        <v>59.063918004119408</v>
      </c>
      <c r="IY40" s="263">
        <v>50.766836781706623</v>
      </c>
      <c r="IZ40" s="263">
        <v>49.061596910735418</v>
      </c>
      <c r="JA40" s="263">
        <v>30.85797348636984</v>
      </c>
      <c r="JB40" s="263">
        <v>84.595565631711494</v>
      </c>
      <c r="JC40" s="263">
        <v>47.103361256515953</v>
      </c>
      <c r="JD40" s="263">
        <v>112.35963946546332</v>
      </c>
      <c r="JE40" s="263">
        <v>657.17814418832791</v>
      </c>
      <c r="JF40" s="263">
        <v>1.3942938340839177</v>
      </c>
      <c r="JG40" s="263">
        <v>39.306100971739951</v>
      </c>
      <c r="JH40" s="263">
        <v>50.721227785787008</v>
      </c>
      <c r="JI40" s="263">
        <v>9.2956499448411751</v>
      </c>
      <c r="JJ40" s="263">
        <v>87.666124209947085</v>
      </c>
      <c r="JK40" s="263">
        <v>0</v>
      </c>
      <c r="JL40" s="263">
        <v>42.771043220574626</v>
      </c>
      <c r="JM40" s="263">
        <v>15.222404820490167</v>
      </c>
      <c r="JN40" s="263">
        <v>12.042384652047476</v>
      </c>
      <c r="JO40" s="263">
        <v>25.252091311425936</v>
      </c>
      <c r="JP40" s="263">
        <v>132.86437087807937</v>
      </c>
      <c r="JQ40" s="263">
        <v>30.579758611260154</v>
      </c>
      <c r="JR40" s="263">
        <v>29.705139042448611</v>
      </c>
      <c r="JS40" s="263">
        <v>79.745987924399401</v>
      </c>
      <c r="JT40" s="263">
        <v>58.032349831702113</v>
      </c>
      <c r="JU40" s="263">
        <v>24.053111295162509</v>
      </c>
      <c r="JV40" s="263">
        <v>20.236174913112883</v>
      </c>
      <c r="JW40" s="263">
        <v>46.053012909308229</v>
      </c>
      <c r="JX40" s="263">
        <v>20.481390338233666</v>
      </c>
      <c r="JY40" s="263">
        <v>30.891509512781326</v>
      </c>
      <c r="JZ40" s="263">
        <v>30.170887377251322</v>
      </c>
      <c r="KA40" s="263">
        <v>55.040667987586325</v>
      </c>
      <c r="KB40" s="263">
        <v>35.321216169421611</v>
      </c>
      <c r="KC40" s="263">
        <v>72.049872295280451</v>
      </c>
      <c r="KD40" s="263">
        <v>110.93851681025022</v>
      </c>
      <c r="KE40" s="263">
        <v>68.877095908542628</v>
      </c>
      <c r="KF40" s="263">
        <v>2.4551054215320245</v>
      </c>
      <c r="KG40" s="263">
        <v>13.813355134785198</v>
      </c>
      <c r="KH40" s="263">
        <v>39.632876013093465</v>
      </c>
      <c r="KI40" s="263">
        <v>29.208537563347338</v>
      </c>
      <c r="KJ40" s="263">
        <v>46.869950512692022</v>
      </c>
      <c r="KK40" s="263">
        <v>137.69516841060104</v>
      </c>
      <c r="KL40" s="263">
        <v>24.238498449165203</v>
      </c>
      <c r="KM40" s="263">
        <v>44.797424080462221</v>
      </c>
      <c r="KN40" s="263">
        <v>35.980936880988345</v>
      </c>
      <c r="KO40" s="263">
        <v>39.108372560017834</v>
      </c>
      <c r="KP40" s="263">
        <v>54.256998122402734</v>
      </c>
      <c r="KQ40" s="263">
        <v>15.081285221350639</v>
      </c>
      <c r="KR40" s="263">
        <v>38.303776214353476</v>
      </c>
      <c r="KS40" s="263">
        <v>17.156494535693355</v>
      </c>
      <c r="KT40" s="263">
        <v>129.43376952029007</v>
      </c>
      <c r="KU40" s="263">
        <v>43.950706485625041</v>
      </c>
      <c r="KV40" s="263">
        <v>10.550165620842019</v>
      </c>
      <c r="KW40" s="263">
        <v>20.322832005360162</v>
      </c>
      <c r="KX40" s="263">
        <v>44.441405624077895</v>
      </c>
      <c r="KY40" s="263">
        <v>43.255035153745183</v>
      </c>
      <c r="KZ40" s="263">
        <v>74.183836727896079</v>
      </c>
      <c r="LA40" s="263">
        <v>24.272571051999268</v>
      </c>
      <c r="LB40" s="263">
        <v>55.047643481079916</v>
      </c>
      <c r="LC40" s="263">
        <v>87.086621673556621</v>
      </c>
      <c r="LD40" s="263">
        <v>133.2238770812105</v>
      </c>
      <c r="LE40" s="263">
        <v>53.168552849191563</v>
      </c>
      <c r="LF40" s="263">
        <v>60.269605225665124</v>
      </c>
      <c r="LG40" s="263">
        <v>96.644657489041265</v>
      </c>
      <c r="LH40" s="263">
        <v>0.59667298191314855</v>
      </c>
      <c r="LI40" s="263">
        <v>57.791695306173303</v>
      </c>
      <c r="LJ40" s="263">
        <v>17.104983199125314</v>
      </c>
      <c r="LK40" s="263">
        <v>27.399470154606167</v>
      </c>
      <c r="LL40" s="263">
        <v>23.865041259046901</v>
      </c>
      <c r="LM40" s="263">
        <v>23.823188298085366</v>
      </c>
      <c r="LN40" s="263">
        <v>55.814679477163409</v>
      </c>
      <c r="LO40" s="263">
        <v>15.380426576941087</v>
      </c>
      <c r="LP40" s="263">
        <v>68.932899856491332</v>
      </c>
      <c r="LQ40" s="263">
        <v>41.360115517390611</v>
      </c>
      <c r="LR40" s="263">
        <v>27.478078600514692</v>
      </c>
      <c r="LS40" s="263">
        <v>24.884268173744761</v>
      </c>
      <c r="LT40" s="263">
        <v>12.567961257968275</v>
      </c>
      <c r="LU40" s="263">
        <v>67.352414003770861</v>
      </c>
      <c r="LV40" s="263">
        <v>15.868174545069731</v>
      </c>
      <c r="LW40" s="263">
        <v>51.510531703407729</v>
      </c>
      <c r="LX40" s="263">
        <v>20.151664126555943</v>
      </c>
      <c r="LY40" s="263">
        <v>80.203151036440772</v>
      </c>
      <c r="LZ40" s="263">
        <v>22.039876557628215</v>
      </c>
      <c r="MA40" s="263">
        <v>17.146299583664263</v>
      </c>
      <c r="MB40" s="263">
        <v>32.001149554684552</v>
      </c>
      <c r="MC40" s="263">
        <v>117.48045655439151</v>
      </c>
      <c r="MD40" s="263">
        <v>34.755664620018322</v>
      </c>
      <c r="ME40" s="263">
        <v>15.23850211316768</v>
      </c>
      <c r="MF40" s="263">
        <v>34.348403115277236</v>
      </c>
      <c r="MG40" s="263">
        <v>55.83748397512322</v>
      </c>
      <c r="MH40" s="263">
        <v>19.376579484133693</v>
      </c>
      <c r="MI40" s="263">
        <v>21.1513060018295</v>
      </c>
      <c r="MJ40" s="263">
        <v>38.505528949244976</v>
      </c>
      <c r="MK40" s="263">
        <v>28.766130302927024</v>
      </c>
      <c r="ML40" s="263">
        <v>54.692698177540755</v>
      </c>
      <c r="MM40" s="263">
        <v>33.31227404326799</v>
      </c>
      <c r="MN40" s="263">
        <v>19.692086420612945</v>
      </c>
      <c r="MO40" s="263">
        <v>13.252901061396454</v>
      </c>
      <c r="MP40" s="263">
        <v>196.40092165264579</v>
      </c>
      <c r="MQ40" s="263">
        <v>30.732146315273944</v>
      </c>
      <c r="MR40" s="263">
        <v>19.970301295722628</v>
      </c>
      <c r="MS40" s="263">
        <v>24.656491482357954</v>
      </c>
      <c r="MT40" s="263">
        <v>70.483069141335832</v>
      </c>
      <c r="MU40" s="263">
        <v>48.494703920275668</v>
      </c>
      <c r="MV40" s="263">
        <v>135.861418486421</v>
      </c>
      <c r="MW40" s="263">
        <v>8.4424934329329862</v>
      </c>
      <c r="MX40" s="263">
        <v>44.617134402474079</v>
      </c>
      <c r="MY40" s="263">
        <v>27.439981674511245</v>
      </c>
      <c r="MZ40" s="263">
        <v>49.901875588501596</v>
      </c>
      <c r="NA40" s="263">
        <v>22.436674822128911</v>
      </c>
      <c r="NB40" s="263">
        <v>55.789460385301972</v>
      </c>
      <c r="NC40" s="263">
        <v>136.5790894516268</v>
      </c>
      <c r="ND40" s="263">
        <v>140</v>
      </c>
    </row>
    <row r="41" spans="1:368" s="255" customFormat="1" ht="14.4" x14ac:dyDescent="0.3">
      <c r="A41" s="254"/>
      <c r="B41" s="257"/>
      <c r="E41" s="255" t="s">
        <v>676</v>
      </c>
      <c r="G41" s="255" t="s">
        <v>12</v>
      </c>
      <c r="H41" s="255" t="s">
        <v>1162</v>
      </c>
      <c r="K41" s="255">
        <f t="shared" si="6"/>
        <v>40</v>
      </c>
      <c r="M41" s="263">
        <v>294.56877303271523</v>
      </c>
      <c r="N41" s="263">
        <v>175.1199447099919</v>
      </c>
      <c r="O41" s="263">
        <v>353.28489410534928</v>
      </c>
      <c r="P41" s="263">
        <v>179.54784288946203</v>
      </c>
      <c r="Q41" s="263">
        <v>74.992921095989317</v>
      </c>
      <c r="R41" s="263">
        <v>74.809999999999974</v>
      </c>
      <c r="S41" s="263">
        <v>372.80088241779686</v>
      </c>
      <c r="T41" s="263">
        <v>688.96442598401109</v>
      </c>
      <c r="U41" s="263">
        <v>1431.2900000000002</v>
      </c>
      <c r="V41" s="263">
        <v>283.45697360843167</v>
      </c>
      <c r="W41" s="263">
        <v>77.68277184747528</v>
      </c>
      <c r="X41" s="263">
        <v>744.4799999999999</v>
      </c>
      <c r="Y41" s="263">
        <v>46.04</v>
      </c>
      <c r="Z41" s="263">
        <v>855.68999999999994</v>
      </c>
      <c r="AA41" s="263">
        <v>384.23769055238955</v>
      </c>
      <c r="AB41" s="263">
        <v>1259.1282570039198</v>
      </c>
      <c r="AC41" s="263">
        <v>1554.2659496808635</v>
      </c>
      <c r="AD41" s="263">
        <v>144.53111076828972</v>
      </c>
      <c r="AE41" s="263">
        <v>308.38</v>
      </c>
      <c r="AF41" s="263">
        <v>921.88753778676471</v>
      </c>
      <c r="AG41" s="263">
        <v>250.45999999999998</v>
      </c>
      <c r="AH41" s="263">
        <v>6.4800010762800326</v>
      </c>
      <c r="AI41" s="263">
        <v>175.6</v>
      </c>
      <c r="AJ41" s="263">
        <v>125.96000000000001</v>
      </c>
      <c r="AK41" s="263">
        <v>349.25752044398655</v>
      </c>
      <c r="AL41" s="263">
        <v>53.557000199378635</v>
      </c>
      <c r="AM41" s="263">
        <v>184.71236972147653</v>
      </c>
      <c r="AN41" s="263">
        <v>92.56</v>
      </c>
      <c r="AO41" s="263">
        <v>213.28351044057382</v>
      </c>
      <c r="AP41" s="263">
        <v>310.43999999999994</v>
      </c>
      <c r="AQ41" s="263">
        <v>176.68</v>
      </c>
      <c r="AR41" s="263">
        <v>142.72815247746408</v>
      </c>
      <c r="AS41" s="263">
        <v>133.96066804290041</v>
      </c>
      <c r="AT41" s="263">
        <v>524.04999999999995</v>
      </c>
      <c r="AU41" s="263">
        <v>271.48168094844721</v>
      </c>
      <c r="AV41" s="263">
        <v>143.25000000000006</v>
      </c>
      <c r="AW41" s="263">
        <v>75.9715623199818</v>
      </c>
      <c r="AX41" s="263">
        <v>200.34881228279954</v>
      </c>
      <c r="AY41" s="263">
        <v>232.05868067027194</v>
      </c>
      <c r="AZ41" s="263">
        <v>342.89676352308118</v>
      </c>
      <c r="BA41" s="263">
        <v>200.68149558729274</v>
      </c>
      <c r="BB41" s="263">
        <v>96.7</v>
      </c>
      <c r="BC41" s="263">
        <v>62.491129720997478</v>
      </c>
      <c r="BD41" s="263">
        <v>219.60070051367907</v>
      </c>
      <c r="BE41" s="263">
        <v>88.268647156970644</v>
      </c>
      <c r="BF41" s="263">
        <v>393.25063486262394</v>
      </c>
      <c r="BG41" s="263">
        <v>195.07831854377099</v>
      </c>
      <c r="BH41" s="263">
        <v>239.91612621203893</v>
      </c>
      <c r="BI41" s="263">
        <v>476.44765363961471</v>
      </c>
      <c r="BJ41" s="263">
        <v>308.62</v>
      </c>
      <c r="BK41" s="263">
        <v>1183.668543033998</v>
      </c>
      <c r="BL41" s="263">
        <v>129.56810881988659</v>
      </c>
      <c r="BM41" s="263">
        <v>372.84746914522736</v>
      </c>
      <c r="BN41" s="263">
        <v>217.22334977712703</v>
      </c>
      <c r="BO41" s="263">
        <v>204.00918510084898</v>
      </c>
      <c r="BP41" s="263">
        <v>82.553330288051328</v>
      </c>
      <c r="BQ41" s="263">
        <v>82.170582545823393</v>
      </c>
      <c r="BR41" s="263">
        <v>222.715869905696</v>
      </c>
      <c r="BS41" s="263">
        <v>340.89912619739141</v>
      </c>
      <c r="BT41" s="263">
        <v>208.51999999999998</v>
      </c>
      <c r="BU41" s="263">
        <v>557.82651408280083</v>
      </c>
      <c r="BV41" s="263">
        <v>221.29756284333385</v>
      </c>
      <c r="BW41" s="263">
        <v>344.53138245678406</v>
      </c>
      <c r="BX41" s="263">
        <v>212.55</v>
      </c>
      <c r="BY41" s="263">
        <v>260.94884742958197</v>
      </c>
      <c r="BZ41" s="263">
        <v>191.23021513614492</v>
      </c>
      <c r="CA41" s="263">
        <v>283.62220746282236</v>
      </c>
      <c r="CB41" s="263">
        <v>267.64895988646265</v>
      </c>
      <c r="CC41" s="263">
        <v>410.77736222480314</v>
      </c>
      <c r="CD41" s="263">
        <v>281.8007654687222</v>
      </c>
      <c r="CE41" s="263">
        <v>130.07589337299208</v>
      </c>
      <c r="CF41" s="263">
        <v>315.69117308395528</v>
      </c>
      <c r="CG41" s="263">
        <v>64.303574706405044</v>
      </c>
      <c r="CH41" s="263">
        <v>644.32913865105525</v>
      </c>
      <c r="CI41" s="263">
        <v>175.15989504051842</v>
      </c>
      <c r="CJ41" s="263">
        <v>621.12000000000012</v>
      </c>
      <c r="CK41" s="263">
        <v>172.14811115334629</v>
      </c>
      <c r="CL41" s="263">
        <v>235.7092371293194</v>
      </c>
      <c r="CM41" s="263">
        <v>589.03999999999985</v>
      </c>
      <c r="CN41" s="263">
        <v>126.23214832393569</v>
      </c>
      <c r="CO41" s="263">
        <v>86.880000000000024</v>
      </c>
      <c r="CP41" s="263">
        <v>307.22000817906633</v>
      </c>
      <c r="CQ41" s="263">
        <v>305.2313444229913</v>
      </c>
      <c r="CR41" s="263">
        <v>770.15999999999974</v>
      </c>
      <c r="CS41" s="263">
        <v>47.389417454176623</v>
      </c>
      <c r="CT41" s="263">
        <v>144.35863928304224</v>
      </c>
      <c r="CU41" s="263">
        <v>209.7646389054101</v>
      </c>
      <c r="CV41" s="263">
        <v>479.7999999999999</v>
      </c>
      <c r="CW41" s="263">
        <v>354.34000000000003</v>
      </c>
      <c r="CX41" s="263">
        <v>1913.0320184606257</v>
      </c>
      <c r="CY41" s="263">
        <v>178.3</v>
      </c>
      <c r="CZ41" s="263">
        <v>1343.26</v>
      </c>
      <c r="DA41" s="263">
        <v>280.09999999999997</v>
      </c>
      <c r="DB41" s="263">
        <v>171.31</v>
      </c>
      <c r="DC41" s="263">
        <v>271.05999999999989</v>
      </c>
      <c r="DD41" s="263">
        <v>960.36028147096113</v>
      </c>
      <c r="DE41" s="263">
        <v>208.73999999999995</v>
      </c>
      <c r="DF41" s="263">
        <v>240.90810496908611</v>
      </c>
      <c r="DG41" s="263">
        <v>316.36491306220688</v>
      </c>
      <c r="DH41" s="263">
        <v>249.17</v>
      </c>
      <c r="DI41" s="263">
        <v>71.624962188561923</v>
      </c>
      <c r="DJ41" s="263">
        <v>681.43000000000018</v>
      </c>
      <c r="DK41" s="263">
        <v>415.01440145659006</v>
      </c>
      <c r="DL41" s="263">
        <v>125.27557742737591</v>
      </c>
      <c r="DM41" s="263">
        <v>422.17295092771417</v>
      </c>
      <c r="DN41" s="263">
        <v>493.73318701852151</v>
      </c>
      <c r="DO41" s="263">
        <v>444.5444602770047</v>
      </c>
      <c r="DP41" s="263">
        <v>59.805146600064745</v>
      </c>
      <c r="DQ41" s="263">
        <v>1676.5696636493528</v>
      </c>
      <c r="DR41" s="263">
        <v>889.08189266424085</v>
      </c>
      <c r="DS41" s="263">
        <v>106.70224590254068</v>
      </c>
      <c r="DT41" s="263">
        <v>115.57913778580107</v>
      </c>
      <c r="DU41" s="263">
        <v>114.626246795014</v>
      </c>
      <c r="DV41" s="263">
        <v>226.854041801119</v>
      </c>
      <c r="DW41" s="263">
        <v>521.79552280210748</v>
      </c>
      <c r="DX41" s="263">
        <v>189.94413941481895</v>
      </c>
      <c r="DY41" s="263">
        <v>848.94423961329016</v>
      </c>
      <c r="DZ41" s="263">
        <v>344.80000000000013</v>
      </c>
      <c r="EA41" s="263">
        <v>97.83930930359152</v>
      </c>
      <c r="EB41" s="263">
        <v>345.85804966918744</v>
      </c>
      <c r="EC41" s="263">
        <v>161.37439310253538</v>
      </c>
      <c r="ED41" s="263">
        <v>219.71710282221017</v>
      </c>
      <c r="EE41" s="263">
        <v>31.339999999999996</v>
      </c>
      <c r="EF41" s="263">
        <v>119.31143631446807</v>
      </c>
      <c r="EG41" s="263">
        <v>790.56673486715965</v>
      </c>
      <c r="EH41" s="263">
        <v>95.704251664798221</v>
      </c>
      <c r="EI41" s="263">
        <v>544.47701116662097</v>
      </c>
      <c r="EJ41" s="263">
        <v>97.186324196647831</v>
      </c>
      <c r="EK41" s="263">
        <v>103.05</v>
      </c>
      <c r="EL41" s="263">
        <v>839.86000000000024</v>
      </c>
      <c r="EM41" s="263">
        <v>327.18495198519753</v>
      </c>
      <c r="EN41" s="263">
        <v>343</v>
      </c>
      <c r="EO41" s="263">
        <v>589.91</v>
      </c>
      <c r="EP41" s="263">
        <v>135.27000000000004</v>
      </c>
      <c r="EQ41" s="263">
        <v>558.49999999999977</v>
      </c>
      <c r="ER41" s="263">
        <v>1132.3458912820436</v>
      </c>
      <c r="ES41" s="263">
        <v>170.1613961185638</v>
      </c>
      <c r="ET41" s="263">
        <v>560.11</v>
      </c>
      <c r="EU41" s="263">
        <v>65.989200980002593</v>
      </c>
      <c r="EV41" s="263">
        <v>119.31825763117192</v>
      </c>
      <c r="EW41" s="263">
        <v>989.56999999999971</v>
      </c>
      <c r="EX41" s="263">
        <v>639.9799999999999</v>
      </c>
      <c r="EY41" s="263">
        <v>152.95086221419893</v>
      </c>
      <c r="EZ41" s="263">
        <v>540.30756811020308</v>
      </c>
      <c r="FA41" s="263">
        <v>476.97058955049778</v>
      </c>
      <c r="FB41" s="263">
        <v>661.36981459979597</v>
      </c>
      <c r="FC41" s="263">
        <v>407.32753836928771</v>
      </c>
      <c r="FD41" s="263">
        <v>415.04041011902854</v>
      </c>
      <c r="FE41" s="263">
        <v>295.14000000000004</v>
      </c>
      <c r="FF41" s="263">
        <v>354.2600000000001</v>
      </c>
      <c r="FG41" s="263">
        <v>255.81</v>
      </c>
      <c r="FH41" s="263">
        <v>186.11999999999995</v>
      </c>
      <c r="FI41" s="263">
        <v>131.27211305345318</v>
      </c>
      <c r="FJ41" s="263">
        <v>679.76291596014846</v>
      </c>
      <c r="FK41" s="263">
        <v>152.81923393232188</v>
      </c>
      <c r="FL41" s="263">
        <v>207.05</v>
      </c>
      <c r="FM41" s="263">
        <v>470.95999999999992</v>
      </c>
      <c r="FN41" s="263">
        <v>131.62761972629497</v>
      </c>
      <c r="FO41" s="263">
        <v>144.81000000000003</v>
      </c>
      <c r="FP41" s="263">
        <v>668.07345158213661</v>
      </c>
      <c r="FQ41" s="263">
        <v>203.44833481173626</v>
      </c>
      <c r="FR41" s="263">
        <v>96.046539226220105</v>
      </c>
      <c r="FS41" s="263">
        <v>329.14000000000004</v>
      </c>
      <c r="FT41" s="263">
        <v>71.980584252821913</v>
      </c>
      <c r="FU41" s="263">
        <v>99.946889226989995</v>
      </c>
      <c r="FV41" s="263">
        <v>216.20999999999998</v>
      </c>
      <c r="FW41" s="263">
        <v>104.35</v>
      </c>
      <c r="FX41" s="263">
        <v>1440.739921390973</v>
      </c>
      <c r="FY41" s="263">
        <v>363.25000000000011</v>
      </c>
      <c r="FZ41" s="263">
        <v>30.38796014797262</v>
      </c>
      <c r="GA41" s="263">
        <v>271.32</v>
      </c>
      <c r="GB41" s="263">
        <v>790.06000000000006</v>
      </c>
      <c r="GC41" s="263">
        <v>144.53418103745813</v>
      </c>
      <c r="GD41" s="263">
        <v>194.13134738823439</v>
      </c>
      <c r="GE41" s="263">
        <v>178.08279356612834</v>
      </c>
      <c r="GF41" s="263">
        <v>124.93999999999997</v>
      </c>
      <c r="GG41" s="263">
        <v>215.46895519771692</v>
      </c>
      <c r="GH41" s="263">
        <v>228.62945690476531</v>
      </c>
      <c r="GI41" s="263">
        <v>116.88000000000002</v>
      </c>
      <c r="GJ41" s="263">
        <v>101.73456358570181</v>
      </c>
      <c r="GK41" s="263">
        <v>302.24</v>
      </c>
      <c r="GL41" s="263">
        <v>303.04878066279633</v>
      </c>
      <c r="GM41" s="263">
        <v>184.8329578427153</v>
      </c>
      <c r="GN41" s="263">
        <v>228.09999999999997</v>
      </c>
      <c r="GO41" s="263">
        <v>725.7600000000001</v>
      </c>
      <c r="GP41" s="263">
        <v>309.94629953275387</v>
      </c>
      <c r="GQ41" s="263">
        <v>117.55160555926891</v>
      </c>
      <c r="GR41" s="263">
        <v>642.72999999999979</v>
      </c>
      <c r="GS41" s="263">
        <v>91.2629805577903</v>
      </c>
      <c r="GT41" s="263">
        <v>152.4</v>
      </c>
      <c r="GU41" s="263">
        <v>89.27509315093738</v>
      </c>
      <c r="GV41" s="263">
        <v>448.49274706722656</v>
      </c>
      <c r="GW41" s="263">
        <v>376.0901172519176</v>
      </c>
      <c r="GX41" s="263">
        <v>83.253490345618303</v>
      </c>
      <c r="GY41" s="263">
        <v>285.28693562716683</v>
      </c>
      <c r="GZ41" s="263">
        <v>312.85777482497144</v>
      </c>
      <c r="HA41" s="263">
        <v>276.70801583006721</v>
      </c>
      <c r="HB41" s="263">
        <v>78.16</v>
      </c>
      <c r="HC41" s="263">
        <v>97.792233030690852</v>
      </c>
      <c r="HD41" s="263">
        <v>205.46032357171444</v>
      </c>
      <c r="HE41" s="263">
        <v>100.99730234002345</v>
      </c>
      <c r="HF41" s="263">
        <v>334.71999999999991</v>
      </c>
      <c r="HG41" s="263">
        <v>90.100391792171209</v>
      </c>
      <c r="HH41" s="263">
        <v>128.96334646404327</v>
      </c>
      <c r="HI41" s="263">
        <v>764.96839415107195</v>
      </c>
      <c r="HJ41" s="263">
        <v>367.29999999999978</v>
      </c>
      <c r="HK41" s="263">
        <v>478.64560427429598</v>
      </c>
      <c r="HL41" s="263">
        <v>67.836844951910308</v>
      </c>
      <c r="HM41" s="263">
        <v>149.52688225701181</v>
      </c>
      <c r="HN41" s="263">
        <v>721.05</v>
      </c>
      <c r="HO41" s="263">
        <v>172.78957751943508</v>
      </c>
      <c r="HP41" s="263">
        <v>95.550000000000011</v>
      </c>
      <c r="HQ41" s="263">
        <v>310.23999999999995</v>
      </c>
      <c r="HR41" s="263">
        <v>104.71999999999998</v>
      </c>
      <c r="HS41" s="263">
        <v>79.331743880519269</v>
      </c>
      <c r="HT41" s="263">
        <v>187.10898017952761</v>
      </c>
      <c r="HU41" s="263">
        <v>521.43305234369541</v>
      </c>
      <c r="HV41" s="263">
        <v>348.5</v>
      </c>
      <c r="HW41" s="263">
        <v>294.24823126610715</v>
      </c>
      <c r="HX41" s="263">
        <v>118.87307182524228</v>
      </c>
      <c r="HY41" s="263">
        <v>236.40072884328328</v>
      </c>
      <c r="HZ41" s="263">
        <v>399.71333822928597</v>
      </c>
      <c r="IA41" s="263">
        <v>440.6612135066099</v>
      </c>
      <c r="IB41" s="263">
        <v>259.75241234330309</v>
      </c>
      <c r="IC41" s="263">
        <v>70.969999999999985</v>
      </c>
      <c r="ID41" s="263">
        <v>28.668189438725882</v>
      </c>
      <c r="IE41" s="263">
        <v>444.37744524648235</v>
      </c>
      <c r="IF41" s="263">
        <v>214.19464579099849</v>
      </c>
      <c r="IG41" s="263">
        <v>506.41276313018062</v>
      </c>
      <c r="IH41" s="263">
        <v>151.98815907069846</v>
      </c>
      <c r="II41" s="263">
        <v>92.164798194804234</v>
      </c>
      <c r="IJ41" s="263">
        <v>240.43967642828557</v>
      </c>
      <c r="IK41" s="263">
        <v>69.23</v>
      </c>
      <c r="IL41" s="263">
        <v>509.9895535779653</v>
      </c>
      <c r="IM41" s="263">
        <v>19.046490299823635</v>
      </c>
      <c r="IN41" s="263">
        <v>218.82999999999993</v>
      </c>
      <c r="IO41" s="263">
        <v>739.49205440250194</v>
      </c>
      <c r="IP41" s="263">
        <v>131.54389999811283</v>
      </c>
      <c r="IQ41" s="263">
        <v>264.57261025065361</v>
      </c>
      <c r="IR41" s="263">
        <v>291.34000000000003</v>
      </c>
      <c r="IS41" s="263">
        <v>92.22999999999999</v>
      </c>
      <c r="IT41" s="263">
        <v>68.282707504820621</v>
      </c>
      <c r="IU41" s="263">
        <v>112.90830129799201</v>
      </c>
      <c r="IV41" s="263">
        <v>220.85266906553412</v>
      </c>
      <c r="IW41" s="263">
        <v>318.94381125452264</v>
      </c>
      <c r="IX41" s="263">
        <v>127.40000000000002</v>
      </c>
      <c r="IY41" s="263">
        <v>199.13401195700743</v>
      </c>
      <c r="IZ41" s="263">
        <v>233.8599999999999</v>
      </c>
      <c r="JA41" s="263">
        <v>320.4971963569393</v>
      </c>
      <c r="JB41" s="263">
        <v>340.17572771458623</v>
      </c>
      <c r="JC41" s="263">
        <v>263.9844218058567</v>
      </c>
      <c r="JD41" s="263">
        <v>259.51251654661741</v>
      </c>
      <c r="JE41" s="263">
        <v>1626.573990478337</v>
      </c>
      <c r="JF41" s="263">
        <v>0</v>
      </c>
      <c r="JG41" s="263">
        <v>158.00933116174355</v>
      </c>
      <c r="JH41" s="263">
        <v>387.30874240660188</v>
      </c>
      <c r="JI41" s="263">
        <v>106.64729249517939</v>
      </c>
      <c r="JJ41" s="263">
        <v>258.50999999999993</v>
      </c>
      <c r="JK41" s="263">
        <v>0</v>
      </c>
      <c r="JL41" s="263">
        <v>574.20000000000005</v>
      </c>
      <c r="JM41" s="263">
        <v>82.092519369320456</v>
      </c>
      <c r="JN41" s="263">
        <v>148.37690474904088</v>
      </c>
      <c r="JO41" s="263">
        <v>190.26</v>
      </c>
      <c r="JP41" s="263">
        <v>297.74159922843575</v>
      </c>
      <c r="JQ41" s="263">
        <v>178.98689170150493</v>
      </c>
      <c r="JR41" s="263">
        <v>415.00027288411957</v>
      </c>
      <c r="JS41" s="263">
        <v>542.55182998988766</v>
      </c>
      <c r="JT41" s="263">
        <v>466.15000000000009</v>
      </c>
      <c r="JU41" s="263">
        <v>269.75</v>
      </c>
      <c r="JV41" s="263">
        <v>68.53</v>
      </c>
      <c r="JW41" s="263">
        <v>344.70850315734532</v>
      </c>
      <c r="JX41" s="263">
        <v>85.899937746972469</v>
      </c>
      <c r="JY41" s="263">
        <v>241.96094298810129</v>
      </c>
      <c r="JZ41" s="263">
        <v>251.98074622475193</v>
      </c>
      <c r="KA41" s="263">
        <v>277.5186233523151</v>
      </c>
      <c r="KB41" s="263">
        <v>69.737113745429184</v>
      </c>
      <c r="KC41" s="263">
        <v>219.08925170501138</v>
      </c>
      <c r="KD41" s="263">
        <v>1963.7617452597751</v>
      </c>
      <c r="KE41" s="263">
        <v>366.44972711588059</v>
      </c>
      <c r="KF41" s="263">
        <v>0</v>
      </c>
      <c r="KG41" s="263">
        <v>89.03</v>
      </c>
      <c r="KH41" s="263">
        <v>229.85718426412254</v>
      </c>
      <c r="KI41" s="263">
        <v>275.87633102490116</v>
      </c>
      <c r="KJ41" s="263">
        <v>335.00757849816239</v>
      </c>
      <c r="KK41" s="263">
        <v>536.14235938672937</v>
      </c>
      <c r="KL41" s="263">
        <v>146.89490913531961</v>
      </c>
      <c r="KM41" s="263">
        <v>77.476955580656039</v>
      </c>
      <c r="KN41" s="263">
        <v>287.56869287906545</v>
      </c>
      <c r="KO41" s="263">
        <v>307.42821114634989</v>
      </c>
      <c r="KP41" s="263">
        <v>229.67834590961502</v>
      </c>
      <c r="KQ41" s="263">
        <v>88.35</v>
      </c>
      <c r="KR41" s="263">
        <v>214.64611412906703</v>
      </c>
      <c r="KS41" s="263">
        <v>171.3</v>
      </c>
      <c r="KT41" s="263">
        <v>314.10000000000008</v>
      </c>
      <c r="KU41" s="263">
        <v>338.15</v>
      </c>
      <c r="KV41" s="263">
        <v>85.967634801613528</v>
      </c>
      <c r="KW41" s="263">
        <v>43.377238170747617</v>
      </c>
      <c r="KX41" s="263">
        <v>221.27000000000004</v>
      </c>
      <c r="KY41" s="263">
        <v>284.58798180470433</v>
      </c>
      <c r="KZ41" s="263">
        <v>852.94618874547723</v>
      </c>
      <c r="LA41" s="263">
        <v>170.03339344713885</v>
      </c>
      <c r="LB41" s="263">
        <v>200.21</v>
      </c>
      <c r="LC41" s="263">
        <v>479.7575415083158</v>
      </c>
      <c r="LD41" s="263">
        <v>1382.5128314819631</v>
      </c>
      <c r="LE41" s="263">
        <v>521.92817967820213</v>
      </c>
      <c r="LF41" s="263">
        <v>453.96743524521651</v>
      </c>
      <c r="LG41" s="263">
        <v>237.12999999999997</v>
      </c>
      <c r="LH41" s="263">
        <v>0</v>
      </c>
      <c r="LI41" s="263">
        <v>64.36999999999999</v>
      </c>
      <c r="LJ41" s="263">
        <v>111.5598381289085</v>
      </c>
      <c r="LK41" s="263">
        <v>138.75033635064725</v>
      </c>
      <c r="LL41" s="263">
        <v>191.72382077891046</v>
      </c>
      <c r="LM41" s="263">
        <v>160.88021238859</v>
      </c>
      <c r="LN41" s="263">
        <v>806.34969904474474</v>
      </c>
      <c r="LO41" s="263">
        <v>86.326112960018349</v>
      </c>
      <c r="LP41" s="263">
        <v>510.15054309523458</v>
      </c>
      <c r="LQ41" s="263">
        <v>156.12266841505846</v>
      </c>
      <c r="LR41" s="263">
        <v>152.25000000000003</v>
      </c>
      <c r="LS41" s="263">
        <v>86.000000000000014</v>
      </c>
      <c r="LT41" s="263">
        <v>135.88999999999999</v>
      </c>
      <c r="LU41" s="263">
        <v>394.12262652921129</v>
      </c>
      <c r="LV41" s="263">
        <v>109.04704907228579</v>
      </c>
      <c r="LW41" s="263">
        <v>478.81903240634637</v>
      </c>
      <c r="LX41" s="263">
        <v>138.70334042183657</v>
      </c>
      <c r="LY41" s="263">
        <v>410.30125670059385</v>
      </c>
      <c r="LZ41" s="263">
        <v>180.02091320274914</v>
      </c>
      <c r="MA41" s="263">
        <v>30.4</v>
      </c>
      <c r="MB41" s="263">
        <v>402.8750065428311</v>
      </c>
      <c r="MC41" s="263">
        <v>761.06999999999982</v>
      </c>
      <c r="MD41" s="263">
        <v>322.58221688906718</v>
      </c>
      <c r="ME41" s="263">
        <v>108.12189118011338</v>
      </c>
      <c r="MF41" s="263">
        <v>156.35181364848833</v>
      </c>
      <c r="MG41" s="263">
        <v>282.22764360353887</v>
      </c>
      <c r="MH41" s="263">
        <v>230.81188377084814</v>
      </c>
      <c r="MI41" s="263">
        <v>160.75666971194869</v>
      </c>
      <c r="MJ41" s="263">
        <v>398.49999999999994</v>
      </c>
      <c r="MK41" s="263">
        <v>186.24</v>
      </c>
      <c r="ML41" s="263">
        <v>378.85</v>
      </c>
      <c r="MM41" s="263">
        <v>318.44076742931156</v>
      </c>
      <c r="MN41" s="263">
        <v>49.119142346872707</v>
      </c>
      <c r="MO41" s="263">
        <v>144.82999999999998</v>
      </c>
      <c r="MP41" s="263">
        <v>609.0861500567172</v>
      </c>
      <c r="MQ41" s="263">
        <v>326.52445783863789</v>
      </c>
      <c r="MR41" s="263">
        <v>79.87</v>
      </c>
      <c r="MS41" s="263">
        <v>108.05999999999999</v>
      </c>
      <c r="MT41" s="263">
        <v>469.02957372184102</v>
      </c>
      <c r="MU41" s="263">
        <v>219.63117866995498</v>
      </c>
      <c r="MV41" s="263">
        <v>192.65290548258179</v>
      </c>
      <c r="MW41" s="263">
        <v>19.87176147562197</v>
      </c>
      <c r="MX41" s="263">
        <v>268.06346271331643</v>
      </c>
      <c r="MY41" s="263">
        <v>160.91</v>
      </c>
      <c r="MZ41" s="263">
        <v>363.29632232077614</v>
      </c>
      <c r="NA41" s="263">
        <v>194.68141542491054</v>
      </c>
      <c r="NB41" s="263">
        <v>185.7</v>
      </c>
      <c r="NC41" s="263">
        <v>1004.1500000000002</v>
      </c>
      <c r="ND41" s="263">
        <v>1000</v>
      </c>
    </row>
    <row r="42" spans="1:368" s="255" customFormat="1" ht="14.4" x14ac:dyDescent="0.3">
      <c r="A42" s="254"/>
      <c r="B42" s="257"/>
      <c r="E42" s="255" t="s">
        <v>13</v>
      </c>
      <c r="F42" s="255" t="s">
        <v>407</v>
      </c>
      <c r="G42" s="255" t="s">
        <v>12</v>
      </c>
      <c r="J42" s="255" t="s">
        <v>639</v>
      </c>
      <c r="K42" s="255">
        <f t="shared" si="6"/>
        <v>41</v>
      </c>
      <c r="M42" s="255">
        <v>0</v>
      </c>
      <c r="N42" s="255">
        <v>0</v>
      </c>
      <c r="O42" s="255">
        <v>0</v>
      </c>
      <c r="P42" s="255">
        <v>0</v>
      </c>
      <c r="Q42" s="255">
        <v>0</v>
      </c>
      <c r="R42" s="255">
        <v>0</v>
      </c>
      <c r="S42" s="255">
        <v>0</v>
      </c>
      <c r="T42" s="255">
        <v>0</v>
      </c>
      <c r="U42" s="255">
        <v>0</v>
      </c>
      <c r="V42" s="255">
        <v>0</v>
      </c>
      <c r="W42" s="255">
        <v>0</v>
      </c>
      <c r="X42" s="255">
        <v>0</v>
      </c>
      <c r="Y42" s="255">
        <v>0</v>
      </c>
      <c r="Z42" s="255">
        <v>0</v>
      </c>
      <c r="AA42" s="255">
        <v>0</v>
      </c>
      <c r="AB42" s="255">
        <v>0</v>
      </c>
      <c r="AC42" s="255">
        <v>0</v>
      </c>
      <c r="AD42" s="255">
        <v>0</v>
      </c>
      <c r="AE42" s="255">
        <v>0</v>
      </c>
      <c r="AF42" s="255">
        <v>0</v>
      </c>
      <c r="AG42" s="255">
        <v>0</v>
      </c>
      <c r="AH42" s="255">
        <v>0</v>
      </c>
      <c r="AI42" s="255">
        <v>0</v>
      </c>
      <c r="AJ42" s="255">
        <v>0</v>
      </c>
      <c r="AK42" s="255">
        <v>0</v>
      </c>
      <c r="AL42" s="255">
        <v>0</v>
      </c>
      <c r="AM42" s="255">
        <v>0</v>
      </c>
      <c r="AN42" s="255">
        <v>0</v>
      </c>
      <c r="AO42" s="255">
        <v>0</v>
      </c>
      <c r="AP42" s="255">
        <v>0</v>
      </c>
      <c r="AQ42" s="255">
        <v>0</v>
      </c>
      <c r="AR42" s="255">
        <v>0</v>
      </c>
      <c r="AS42" s="255">
        <v>0</v>
      </c>
      <c r="AT42" s="255">
        <v>0</v>
      </c>
      <c r="AU42" s="255">
        <v>0</v>
      </c>
      <c r="AV42" s="255">
        <v>0</v>
      </c>
      <c r="AW42" s="255">
        <v>0</v>
      </c>
      <c r="AX42" s="255">
        <v>0</v>
      </c>
      <c r="AY42" s="255">
        <v>0</v>
      </c>
      <c r="AZ42" s="255">
        <v>0</v>
      </c>
      <c r="BA42" s="255">
        <v>0</v>
      </c>
      <c r="BB42" s="255">
        <v>0</v>
      </c>
      <c r="BC42" s="255">
        <v>0</v>
      </c>
      <c r="BD42" s="255">
        <v>0</v>
      </c>
      <c r="BE42" s="255">
        <v>0</v>
      </c>
      <c r="BF42" s="255">
        <v>0</v>
      </c>
      <c r="BG42" s="255">
        <v>0</v>
      </c>
      <c r="BH42" s="255">
        <v>0</v>
      </c>
      <c r="BI42" s="255">
        <v>0</v>
      </c>
      <c r="BJ42" s="255">
        <v>0</v>
      </c>
      <c r="BK42" s="255">
        <v>0</v>
      </c>
      <c r="BL42" s="255">
        <v>0</v>
      </c>
      <c r="BM42" s="255">
        <v>0</v>
      </c>
      <c r="BN42" s="255">
        <v>0</v>
      </c>
      <c r="BO42" s="255">
        <v>0</v>
      </c>
      <c r="BP42" s="255">
        <v>0</v>
      </c>
      <c r="BQ42" s="255">
        <v>0</v>
      </c>
      <c r="BR42" s="255">
        <v>0</v>
      </c>
      <c r="BS42" s="255">
        <v>0</v>
      </c>
      <c r="BT42" s="255">
        <v>0</v>
      </c>
      <c r="BU42" s="255">
        <v>0</v>
      </c>
      <c r="BV42" s="255">
        <v>0</v>
      </c>
      <c r="BW42" s="255">
        <v>0</v>
      </c>
      <c r="BX42" s="255">
        <v>0</v>
      </c>
      <c r="BY42" s="255">
        <v>0</v>
      </c>
      <c r="BZ42" s="255">
        <v>0</v>
      </c>
      <c r="CA42" s="255">
        <v>0</v>
      </c>
      <c r="CB42" s="255">
        <v>0</v>
      </c>
      <c r="CC42" s="255">
        <v>0</v>
      </c>
      <c r="CD42" s="255">
        <v>0</v>
      </c>
      <c r="CE42" s="255">
        <v>0</v>
      </c>
      <c r="CF42" s="255">
        <v>0</v>
      </c>
      <c r="CG42" s="255">
        <v>0</v>
      </c>
      <c r="CH42" s="255">
        <v>0</v>
      </c>
      <c r="CI42" s="255">
        <v>0</v>
      </c>
      <c r="CJ42" s="255">
        <v>0</v>
      </c>
      <c r="CK42" s="255">
        <v>0</v>
      </c>
      <c r="CL42" s="255">
        <v>0</v>
      </c>
      <c r="CM42" s="255">
        <v>0</v>
      </c>
      <c r="CN42" s="255">
        <v>0</v>
      </c>
      <c r="CO42" s="255">
        <v>0</v>
      </c>
      <c r="CP42" s="255">
        <v>0</v>
      </c>
      <c r="CQ42" s="255">
        <v>0</v>
      </c>
      <c r="CR42" s="255">
        <v>0</v>
      </c>
      <c r="CS42" s="255">
        <v>0</v>
      </c>
      <c r="CT42" s="255">
        <v>0</v>
      </c>
      <c r="CU42" s="255">
        <v>0</v>
      </c>
      <c r="CV42" s="255">
        <v>0</v>
      </c>
      <c r="CW42" s="255">
        <v>0</v>
      </c>
      <c r="CX42" s="255">
        <v>0</v>
      </c>
      <c r="CY42" s="255">
        <v>0</v>
      </c>
      <c r="CZ42" s="255">
        <v>0</v>
      </c>
      <c r="DA42" s="255">
        <v>0</v>
      </c>
      <c r="DB42" s="255">
        <v>0</v>
      </c>
      <c r="DC42" s="255">
        <v>0</v>
      </c>
      <c r="DD42" s="255">
        <v>0</v>
      </c>
      <c r="DE42" s="255">
        <v>0</v>
      </c>
      <c r="DF42" s="255">
        <v>0</v>
      </c>
      <c r="DG42" s="255">
        <v>0</v>
      </c>
      <c r="DH42" s="255">
        <v>0</v>
      </c>
      <c r="DI42" s="255">
        <v>0</v>
      </c>
      <c r="DJ42" s="255">
        <v>0</v>
      </c>
      <c r="DK42" s="255">
        <v>0</v>
      </c>
      <c r="DL42" s="255">
        <v>0</v>
      </c>
      <c r="DM42" s="255">
        <v>0</v>
      </c>
      <c r="DN42" s="255">
        <v>0</v>
      </c>
      <c r="DO42" s="255">
        <v>0</v>
      </c>
      <c r="DP42" s="255">
        <v>0</v>
      </c>
      <c r="DQ42" s="255">
        <v>0</v>
      </c>
      <c r="DR42" s="255">
        <v>0</v>
      </c>
      <c r="DS42" s="255">
        <v>0</v>
      </c>
      <c r="DT42" s="255">
        <v>0</v>
      </c>
      <c r="DU42" s="255">
        <v>0</v>
      </c>
      <c r="DV42" s="255">
        <v>0</v>
      </c>
      <c r="DW42" s="255">
        <v>0</v>
      </c>
      <c r="DX42" s="255">
        <v>0</v>
      </c>
      <c r="DY42" s="255">
        <v>0</v>
      </c>
      <c r="DZ42" s="255">
        <v>0</v>
      </c>
      <c r="EA42" s="255">
        <v>0</v>
      </c>
      <c r="EB42" s="255">
        <v>0</v>
      </c>
      <c r="EC42" s="255">
        <v>0</v>
      </c>
      <c r="ED42" s="255">
        <v>0</v>
      </c>
      <c r="EE42" s="255">
        <v>0</v>
      </c>
      <c r="EF42" s="255">
        <v>0</v>
      </c>
      <c r="EG42" s="255">
        <v>0</v>
      </c>
      <c r="EH42" s="255">
        <v>0</v>
      </c>
      <c r="EI42" s="255">
        <v>0</v>
      </c>
      <c r="EJ42" s="255">
        <v>0</v>
      </c>
      <c r="EK42" s="255">
        <v>0</v>
      </c>
      <c r="EL42" s="255">
        <v>0</v>
      </c>
      <c r="EM42" s="255">
        <v>0</v>
      </c>
      <c r="EN42" s="255">
        <v>0</v>
      </c>
      <c r="EO42" s="255">
        <v>0</v>
      </c>
      <c r="EP42" s="255">
        <v>0</v>
      </c>
      <c r="EQ42" s="255">
        <v>0</v>
      </c>
      <c r="ER42" s="255">
        <v>0</v>
      </c>
      <c r="ES42" s="255">
        <v>0</v>
      </c>
      <c r="ET42" s="255">
        <v>0</v>
      </c>
      <c r="EU42" s="255">
        <v>0</v>
      </c>
      <c r="EV42" s="255">
        <v>0</v>
      </c>
      <c r="EW42" s="255">
        <v>0</v>
      </c>
      <c r="EX42" s="255">
        <v>0</v>
      </c>
      <c r="EY42" s="255">
        <v>0</v>
      </c>
      <c r="EZ42" s="255">
        <v>0</v>
      </c>
      <c r="FA42" s="255">
        <v>0</v>
      </c>
      <c r="FB42" s="255">
        <v>0</v>
      </c>
      <c r="FC42" s="255">
        <v>0</v>
      </c>
      <c r="FD42" s="255">
        <v>0</v>
      </c>
      <c r="FE42" s="255">
        <v>0</v>
      </c>
      <c r="FF42" s="255">
        <v>0</v>
      </c>
      <c r="FG42" s="255">
        <v>0</v>
      </c>
      <c r="FH42" s="255">
        <v>0</v>
      </c>
      <c r="FI42" s="255">
        <v>0</v>
      </c>
      <c r="FJ42" s="255">
        <v>0</v>
      </c>
      <c r="FK42" s="255">
        <v>0</v>
      </c>
      <c r="FL42" s="255">
        <v>0</v>
      </c>
      <c r="FM42" s="255">
        <v>0</v>
      </c>
      <c r="FN42" s="255">
        <v>0</v>
      </c>
      <c r="FO42" s="255">
        <v>0</v>
      </c>
      <c r="FP42" s="255">
        <v>0</v>
      </c>
      <c r="FQ42" s="255">
        <v>0</v>
      </c>
      <c r="FR42" s="255">
        <v>0</v>
      </c>
      <c r="FS42" s="255">
        <v>0</v>
      </c>
      <c r="FT42" s="255">
        <v>0</v>
      </c>
      <c r="FU42" s="255">
        <v>0</v>
      </c>
      <c r="FV42" s="255">
        <v>0</v>
      </c>
      <c r="FW42" s="255">
        <v>0</v>
      </c>
      <c r="FX42" s="255">
        <v>0</v>
      </c>
      <c r="FY42" s="255">
        <v>0</v>
      </c>
      <c r="FZ42" s="255">
        <v>0</v>
      </c>
      <c r="GA42" s="255">
        <v>0</v>
      </c>
      <c r="GB42" s="255">
        <v>0</v>
      </c>
      <c r="GC42" s="255">
        <v>0</v>
      </c>
      <c r="GD42" s="255">
        <v>0</v>
      </c>
      <c r="GE42" s="255">
        <v>0</v>
      </c>
      <c r="GF42" s="255">
        <v>0</v>
      </c>
      <c r="GG42" s="255">
        <v>0</v>
      </c>
      <c r="GH42" s="255">
        <v>0</v>
      </c>
      <c r="GI42" s="255">
        <v>0</v>
      </c>
      <c r="GJ42" s="255">
        <v>0</v>
      </c>
      <c r="GK42" s="255">
        <v>0</v>
      </c>
      <c r="GL42" s="255">
        <v>0</v>
      </c>
      <c r="GM42" s="255">
        <v>0</v>
      </c>
      <c r="GN42" s="255">
        <v>0</v>
      </c>
      <c r="GO42" s="255">
        <v>0</v>
      </c>
      <c r="GP42" s="255">
        <v>0</v>
      </c>
      <c r="GQ42" s="255">
        <v>0</v>
      </c>
      <c r="GR42" s="255">
        <v>0</v>
      </c>
      <c r="GS42" s="255">
        <v>0</v>
      </c>
      <c r="GT42" s="255">
        <v>0</v>
      </c>
      <c r="GU42" s="255">
        <v>0</v>
      </c>
      <c r="GV42" s="255">
        <v>0</v>
      </c>
      <c r="GW42" s="255">
        <v>0</v>
      </c>
      <c r="GX42" s="255">
        <v>0</v>
      </c>
      <c r="GY42" s="255">
        <v>0</v>
      </c>
      <c r="GZ42" s="255">
        <v>0</v>
      </c>
      <c r="HA42" s="255">
        <v>0</v>
      </c>
      <c r="HB42" s="255">
        <v>0</v>
      </c>
      <c r="HC42" s="255">
        <v>0</v>
      </c>
      <c r="HD42" s="255">
        <v>0</v>
      </c>
      <c r="HE42" s="255">
        <v>0</v>
      </c>
      <c r="HF42" s="255">
        <v>0</v>
      </c>
      <c r="HG42" s="255">
        <v>0</v>
      </c>
      <c r="HH42" s="255">
        <v>0</v>
      </c>
      <c r="HI42" s="255">
        <v>0</v>
      </c>
      <c r="HJ42" s="255">
        <v>0</v>
      </c>
      <c r="HK42" s="255">
        <v>0</v>
      </c>
      <c r="HL42" s="255">
        <v>0</v>
      </c>
      <c r="HM42" s="255">
        <v>0</v>
      </c>
      <c r="HN42" s="255">
        <v>0</v>
      </c>
      <c r="HO42" s="255">
        <v>0</v>
      </c>
      <c r="HP42" s="255">
        <v>0</v>
      </c>
      <c r="HQ42" s="255">
        <v>0</v>
      </c>
      <c r="HR42" s="255">
        <v>0</v>
      </c>
      <c r="HS42" s="255">
        <v>0</v>
      </c>
      <c r="HT42" s="255">
        <v>0</v>
      </c>
      <c r="HU42" s="255">
        <v>0</v>
      </c>
      <c r="HV42" s="255">
        <v>0</v>
      </c>
      <c r="HW42" s="255">
        <v>0</v>
      </c>
      <c r="HX42" s="255">
        <v>0</v>
      </c>
      <c r="HY42" s="255">
        <v>0</v>
      </c>
      <c r="HZ42" s="255">
        <v>0</v>
      </c>
      <c r="IA42" s="255">
        <v>0</v>
      </c>
      <c r="IB42" s="255">
        <v>0</v>
      </c>
      <c r="IC42" s="255">
        <v>0</v>
      </c>
      <c r="ID42" s="255">
        <v>0</v>
      </c>
      <c r="IE42" s="255">
        <v>0</v>
      </c>
      <c r="IF42" s="255">
        <v>0</v>
      </c>
      <c r="IG42" s="255">
        <v>0</v>
      </c>
      <c r="IH42" s="255">
        <v>0</v>
      </c>
      <c r="II42" s="255">
        <v>0</v>
      </c>
      <c r="IJ42" s="255">
        <v>0</v>
      </c>
      <c r="IK42" s="255">
        <v>0</v>
      </c>
      <c r="IL42" s="255">
        <v>0</v>
      </c>
      <c r="IM42" s="255">
        <v>0</v>
      </c>
      <c r="IN42" s="255">
        <v>0</v>
      </c>
      <c r="IO42" s="255">
        <v>0</v>
      </c>
      <c r="IP42" s="255">
        <v>0</v>
      </c>
      <c r="IQ42" s="255">
        <v>0</v>
      </c>
      <c r="IR42" s="255">
        <v>0</v>
      </c>
      <c r="IS42" s="255">
        <v>0</v>
      </c>
      <c r="IT42" s="255">
        <v>0</v>
      </c>
      <c r="IU42" s="255">
        <v>0</v>
      </c>
      <c r="IV42" s="255">
        <v>0</v>
      </c>
      <c r="IW42" s="255">
        <v>0</v>
      </c>
      <c r="IX42" s="255">
        <v>0</v>
      </c>
      <c r="IY42" s="255">
        <v>0</v>
      </c>
      <c r="IZ42" s="255">
        <v>0</v>
      </c>
      <c r="JA42" s="255">
        <v>0</v>
      </c>
      <c r="JB42" s="255">
        <v>0</v>
      </c>
      <c r="JC42" s="255">
        <v>0</v>
      </c>
      <c r="JD42" s="255">
        <v>0</v>
      </c>
      <c r="JE42" s="255">
        <v>0</v>
      </c>
      <c r="JF42" s="255">
        <v>0</v>
      </c>
      <c r="JG42" s="255">
        <v>0</v>
      </c>
      <c r="JH42" s="255">
        <v>0</v>
      </c>
      <c r="JI42" s="255">
        <v>0</v>
      </c>
      <c r="JJ42" s="255">
        <v>0</v>
      </c>
      <c r="JK42" s="255">
        <v>0</v>
      </c>
      <c r="JL42" s="255">
        <v>0</v>
      </c>
      <c r="JM42" s="255">
        <v>0</v>
      </c>
      <c r="JN42" s="255">
        <v>0</v>
      </c>
      <c r="JO42" s="255">
        <v>0</v>
      </c>
      <c r="JP42" s="255">
        <v>0</v>
      </c>
      <c r="JQ42" s="255">
        <v>0</v>
      </c>
      <c r="JR42" s="255">
        <v>0</v>
      </c>
      <c r="JS42" s="255">
        <v>0</v>
      </c>
      <c r="JT42" s="255">
        <v>0</v>
      </c>
      <c r="JU42" s="255">
        <v>0</v>
      </c>
      <c r="JV42" s="255">
        <v>0</v>
      </c>
      <c r="JW42" s="255">
        <v>0</v>
      </c>
      <c r="JX42" s="255">
        <v>0</v>
      </c>
      <c r="JY42" s="255">
        <v>0</v>
      </c>
      <c r="JZ42" s="255">
        <v>0</v>
      </c>
      <c r="KA42" s="255">
        <v>0</v>
      </c>
      <c r="KB42" s="255">
        <v>0</v>
      </c>
      <c r="KC42" s="255">
        <v>0</v>
      </c>
      <c r="KD42" s="255">
        <v>0</v>
      </c>
      <c r="KE42" s="255">
        <v>0</v>
      </c>
      <c r="KF42" s="255">
        <v>0</v>
      </c>
      <c r="KG42" s="255">
        <v>0</v>
      </c>
      <c r="KH42" s="255">
        <v>0</v>
      </c>
      <c r="KI42" s="255">
        <v>0</v>
      </c>
      <c r="KJ42" s="255">
        <v>0</v>
      </c>
      <c r="KK42" s="255">
        <v>0</v>
      </c>
      <c r="KL42" s="255">
        <v>0</v>
      </c>
      <c r="KM42" s="255">
        <v>0</v>
      </c>
      <c r="KN42" s="255">
        <v>0</v>
      </c>
      <c r="KO42" s="255">
        <v>0</v>
      </c>
      <c r="KP42" s="255">
        <v>0</v>
      </c>
      <c r="KQ42" s="255">
        <v>0</v>
      </c>
      <c r="KR42" s="255">
        <v>0</v>
      </c>
      <c r="KS42" s="255">
        <v>0</v>
      </c>
      <c r="KT42" s="255">
        <v>0</v>
      </c>
      <c r="KU42" s="255">
        <v>0</v>
      </c>
      <c r="KV42" s="255">
        <v>0</v>
      </c>
      <c r="KW42" s="255">
        <v>0</v>
      </c>
      <c r="KX42" s="255">
        <v>0</v>
      </c>
      <c r="KY42" s="255">
        <v>0</v>
      </c>
      <c r="KZ42" s="255">
        <v>0</v>
      </c>
      <c r="LA42" s="255">
        <v>0</v>
      </c>
      <c r="LB42" s="255">
        <v>0</v>
      </c>
      <c r="LC42" s="255">
        <v>0</v>
      </c>
      <c r="LD42" s="255">
        <v>0</v>
      </c>
      <c r="LE42" s="255">
        <v>0</v>
      </c>
      <c r="LF42" s="255">
        <v>0</v>
      </c>
      <c r="LG42" s="255">
        <v>0</v>
      </c>
      <c r="LH42" s="255">
        <v>0</v>
      </c>
      <c r="LI42" s="255">
        <v>0</v>
      </c>
      <c r="LJ42" s="255">
        <v>0</v>
      </c>
      <c r="LK42" s="255">
        <v>0</v>
      </c>
      <c r="LL42" s="255">
        <v>0</v>
      </c>
      <c r="LM42" s="255">
        <v>0</v>
      </c>
      <c r="LN42" s="255">
        <v>0</v>
      </c>
      <c r="LO42" s="255">
        <v>0</v>
      </c>
      <c r="LP42" s="255">
        <v>0</v>
      </c>
      <c r="LQ42" s="255">
        <v>0</v>
      </c>
      <c r="LR42" s="255">
        <v>0</v>
      </c>
      <c r="LS42" s="255">
        <v>0</v>
      </c>
      <c r="LT42" s="255">
        <v>0</v>
      </c>
      <c r="LU42" s="255">
        <v>0</v>
      </c>
      <c r="LV42" s="255">
        <v>0</v>
      </c>
      <c r="LW42" s="255">
        <v>0</v>
      </c>
      <c r="LX42" s="255">
        <v>0</v>
      </c>
      <c r="LY42" s="255">
        <v>0</v>
      </c>
      <c r="LZ42" s="255">
        <v>0</v>
      </c>
      <c r="MA42" s="255">
        <v>0</v>
      </c>
      <c r="MB42" s="255">
        <v>0</v>
      </c>
      <c r="MC42" s="255">
        <v>0</v>
      </c>
      <c r="MD42" s="255">
        <v>0</v>
      </c>
      <c r="ME42" s="255">
        <v>0</v>
      </c>
      <c r="MF42" s="255">
        <v>0</v>
      </c>
      <c r="MG42" s="255">
        <v>0</v>
      </c>
      <c r="MH42" s="255">
        <v>0</v>
      </c>
      <c r="MI42" s="255">
        <v>0</v>
      </c>
      <c r="MJ42" s="255">
        <v>0</v>
      </c>
      <c r="MK42" s="255">
        <v>0</v>
      </c>
      <c r="ML42" s="255">
        <v>0</v>
      </c>
      <c r="MM42" s="255">
        <v>0</v>
      </c>
      <c r="MN42" s="255">
        <v>0</v>
      </c>
      <c r="MO42" s="255">
        <v>0</v>
      </c>
      <c r="MP42" s="255">
        <v>0</v>
      </c>
      <c r="MQ42" s="255">
        <v>0</v>
      </c>
      <c r="MR42" s="255">
        <v>0</v>
      </c>
      <c r="MS42" s="255">
        <v>0</v>
      </c>
      <c r="MT42" s="255">
        <v>0</v>
      </c>
      <c r="MU42" s="255">
        <v>0</v>
      </c>
      <c r="MV42" s="255">
        <v>0</v>
      </c>
      <c r="MW42" s="255">
        <v>0</v>
      </c>
      <c r="MX42" s="255">
        <v>0</v>
      </c>
      <c r="MY42" s="255">
        <v>0</v>
      </c>
      <c r="MZ42" s="255">
        <v>0</v>
      </c>
      <c r="NA42" s="255">
        <v>0</v>
      </c>
      <c r="NB42" s="255">
        <v>0</v>
      </c>
      <c r="NC42" s="255">
        <v>0</v>
      </c>
      <c r="ND42" s="255">
        <v>0</v>
      </c>
    </row>
  </sheetData>
  <sheetProtection algorithmName="SHA-512" hashValue="TOLGcTT2z8Qsp6PStxlwjlsdOL5PjFBTFqx3vNLaTSRc+04qvx2Ubwf4rQl5lUzwn/WmwdbNqR9M0CfYyE0OQQ==" saltValue="IgRkFkg6FxVD/nvGJthWpg==" spinCount="100000" sheet="1" objects="1" scenarios="1" selectLockedCells="1" selectUnlockedCells="1"/>
  <conditionalFormatting sqref="M4:NC4">
    <cfRule type="colorScale" priority="1">
      <colorScale>
        <cfvo type="min"/>
        <cfvo type="num" val="0"/>
        <cfvo type="max"/>
        <color rgb="FFF8696B"/>
        <color rgb="FFFFEB84"/>
        <color rgb="FF63BE7B"/>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32B13-3698-4DDC-8CBB-A8EFA7A0DC82}">
  <sheetPr codeName="Sheet11"/>
  <dimension ref="B2:B13"/>
  <sheetViews>
    <sheetView workbookViewId="0">
      <selection activeCell="J37" sqref="J37"/>
    </sheetView>
  </sheetViews>
  <sheetFormatPr defaultColWidth="9.109375" defaultRowHeight="13.8" x14ac:dyDescent="0.3"/>
  <cols>
    <col min="1" max="1" width="9.109375" style="1"/>
    <col min="2" max="2" width="37.21875" style="1" customWidth="1"/>
    <col min="3" max="16384" width="9.109375" style="1"/>
  </cols>
  <sheetData>
    <row r="2" spans="2:2" ht="15.6" x14ac:dyDescent="0.3">
      <c r="B2" s="34" t="s">
        <v>41</v>
      </c>
    </row>
    <row r="3" spans="2:2" x14ac:dyDescent="0.3">
      <c r="B3" s="1" t="s">
        <v>14</v>
      </c>
    </row>
    <row r="4" spans="2:2" x14ac:dyDescent="0.3">
      <c r="B4" s="1" t="s">
        <v>15</v>
      </c>
    </row>
    <row r="5" spans="2:2" x14ac:dyDescent="0.3">
      <c r="B5" s="1" t="s">
        <v>16</v>
      </c>
    </row>
    <row r="6" spans="2:2" x14ac:dyDescent="0.3">
      <c r="B6" s="1" t="s">
        <v>42</v>
      </c>
    </row>
    <row r="7" spans="2:2" x14ac:dyDescent="0.3">
      <c r="B7" s="1" t="s">
        <v>43</v>
      </c>
    </row>
    <row r="9" spans="2:2" x14ac:dyDescent="0.3">
      <c r="B9" s="10" t="s">
        <v>411</v>
      </c>
    </row>
    <row r="10" spans="2:2" x14ac:dyDescent="0.3">
      <c r="B10" s="1" t="s">
        <v>416</v>
      </c>
    </row>
    <row r="11" spans="2:2" x14ac:dyDescent="0.3">
      <c r="B11" s="1" t="s">
        <v>417</v>
      </c>
    </row>
    <row r="12" spans="2:2" x14ac:dyDescent="0.3">
      <c r="B12" s="1" t="s">
        <v>1567</v>
      </c>
    </row>
    <row r="13" spans="2:2" x14ac:dyDescent="0.3">
      <c r="B13" s="1" t="s">
        <v>412</v>
      </c>
    </row>
  </sheetData>
  <sheetProtection algorithmName="SHA-512" hashValue="jIp6Nc7tnM4XJaVuA9jewn/oIdHRhPob6JOYZPzkJ4fLXBmbVUhu7AHfyCbqnbYXEo0P3LzBAlH2QqYaaAxRtw==" saltValue="BpOGsp2o/CYtchF6F9eix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71A5E077215C4082F0378CC713F8FD" ma:contentTypeVersion="" ma:contentTypeDescription="Create a new document." ma:contentTypeScope="" ma:versionID="fad2269c7aa7f8dce9f0d31bb0a9aa0d">
  <xsd:schema xmlns:xsd="http://www.w3.org/2001/XMLSchema" xmlns:xs="http://www.w3.org/2001/XMLSchema" xmlns:p="http://schemas.microsoft.com/office/2006/metadata/properties" xmlns:ns1="http://schemas.microsoft.com/sharepoint/v3" xmlns:ns2="e722d3c4-5633-40de-9150-dbf9b67024c0" xmlns:ns3="2e5dffa8-c4de-4513-91d9-23825341dd47" targetNamespace="http://schemas.microsoft.com/office/2006/metadata/properties" ma:root="true" ma:fieldsID="a9660294f2ddcb2ffb38d36864b4c5d6" ns1:_="" ns2:_="" ns3:_="">
    <xsd:import namespace="http://schemas.microsoft.com/sharepoint/v3"/>
    <xsd:import namespace="e722d3c4-5633-40de-9150-dbf9b67024c0"/>
    <xsd:import namespace="2e5dffa8-c4de-4513-91d9-23825341dd4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kenmerken_x0020_inhoud"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22d3c4-5633-40de-9150-dbf9b67024c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5dffa8-c4de-4513-91d9-23825341dd4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kenmerken_x0020_inhoud" ma:index="16" nillable="true" ma:displayName="Tech inhoud" ma:format="Dropdown" ma:internalName="kenmerken_x0020_inhoud">
      <xsd:simpleType>
        <xsd:restriction base="dms:Text">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kenmerken_x0020_inhoud xmlns="2e5dffa8-c4de-4513-91d9-23825341dd47" xsi:nil="true"/>
  </documentManagement>
</p:properties>
</file>

<file path=customXml/itemProps1.xml><?xml version="1.0" encoding="utf-8"?>
<ds:datastoreItem xmlns:ds="http://schemas.openxmlformats.org/officeDocument/2006/customXml" ds:itemID="{6B7A1E97-A303-48B9-AE42-8D0C1FED7EDF}">
  <ds:schemaRefs>
    <ds:schemaRef ds:uri="http://schemas.microsoft.com/sharepoint/v3/contenttype/forms"/>
  </ds:schemaRefs>
</ds:datastoreItem>
</file>

<file path=customXml/itemProps2.xml><?xml version="1.0" encoding="utf-8"?>
<ds:datastoreItem xmlns:ds="http://schemas.openxmlformats.org/officeDocument/2006/customXml" ds:itemID="{F0B7365E-5039-42EA-8C21-D8EA37D996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722d3c4-5633-40de-9150-dbf9b67024c0"/>
    <ds:schemaRef ds:uri="2e5dffa8-c4de-4513-91d9-23825341dd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22768A-2ED7-4166-BB85-3475AC625B96}">
  <ds:schemaRefs>
    <ds:schemaRef ds:uri="http://purl.org/dc/dcmitype/"/>
    <ds:schemaRef ds:uri="http://schemas.microsoft.com/office/2006/documentManagement/types"/>
    <ds:schemaRef ds:uri="2e5dffa8-c4de-4513-91d9-23825341dd47"/>
    <ds:schemaRef ds:uri="http://www.w3.org/XML/1998/namespace"/>
    <ds:schemaRef ds:uri="http://schemas.microsoft.com/office/infopath/2007/PartnerControls"/>
    <ds:schemaRef ds:uri="http://schemas.openxmlformats.org/package/2006/metadata/core-properties"/>
    <ds:schemaRef ds:uri="e722d3c4-5633-40de-9150-dbf9b67024c0"/>
    <ds:schemaRef ds:uri="http://schemas.microsoft.com/sharepoint/v3"/>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Instructies</vt:lpstr>
      <vt:lpstr>Dashboard</vt:lpstr>
      <vt:lpstr>Inputs</vt:lpstr>
      <vt:lpstr>Berekeningen (huidig)</vt:lpstr>
      <vt:lpstr>Berekeningen (toekomst)</vt:lpstr>
      <vt:lpstr>Resultaten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 van Rijn</dc:creator>
  <cp:keywords/>
  <dc:description/>
  <cp:lastModifiedBy>Nina van Rijn</cp:lastModifiedBy>
  <cp:revision/>
  <dcterms:created xsi:type="dcterms:W3CDTF">2020-02-20T09:23:35Z</dcterms:created>
  <dcterms:modified xsi:type="dcterms:W3CDTF">2020-11-19T08:43:04Z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0x0101002A71A5E077215C4082F0378CC713F8FD</vt:lpwstr>
  </property>
</Properties>
</file>