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AlgorithmName="SHA-512" workbookHashValue="mWiXgsIgpSv/7cXJitXVxcU5SZW6GWvGJ0+Jou79SFGLwqtPbn8wYE45+7Omngc7j4Uf1hSPIt0VWhLDBR4aYA==" workbookSaltValue="c4wMTBCZ2dOcoix6EG1NJw==" workbookSpinCount="100000" lockStructure="1"/>
  <bookViews>
    <workbookView xWindow="-60" yWindow="-195" windowWidth="9585" windowHeight="11025" tabRatio="599"/>
  </bookViews>
  <sheets>
    <sheet name="Macrogegevens" sheetId="4" r:id="rId1"/>
    <sheet name="Balansprognose" sheetId="6" r:id="rId2"/>
    <sheet name="Investeringen &amp; financiering" sheetId="3" r:id="rId3"/>
    <sheet name="Inkomsten &amp; uitgaven" sheetId="1" r:id="rId4"/>
    <sheet name="Data macrogegevens" sheetId="8" state="hidden" r:id="rId5"/>
    <sheet name="Data OZB belastingen" sheetId="10" state="hidden" r:id="rId6"/>
    <sheet name="Data investeringen" sheetId="7" state="hidden" r:id="rId7"/>
    <sheet name="Data inkomsten" sheetId="9" state="hidden" r:id="rId8"/>
  </sheets>
  <definedNames>
    <definedName name="_xlnm._FilterDatabase" localSheetId="0" hidden="1">Macrogegevens!$A$1:$C$19</definedName>
  </definedNames>
  <calcPr calcId="162913"/>
  <customWorkbookViews>
    <customWorkbookView name="Jan van der Lei  - Persoonlijke weergave" guid="{B41B624D-DA5C-4FA3-85F1-D5B8087B6A65}" mergeInterval="0" personalView="1" maximized="1" xWindow="1" yWindow="1" windowWidth="1676" windowHeight="832" activeSheetId="1"/>
  </customWorkbookViews>
</workbook>
</file>

<file path=xl/calcChain.xml><?xml version="1.0" encoding="utf-8"?>
<calcChain xmlns="http://schemas.openxmlformats.org/spreadsheetml/2006/main">
  <c r="I402" i="9" l="1"/>
  <c r="I401" i="9"/>
  <c r="I400" i="9"/>
  <c r="I399" i="9"/>
  <c r="I398" i="9"/>
  <c r="I397" i="9"/>
  <c r="I396" i="9"/>
  <c r="I395" i="9"/>
  <c r="I394" i="9"/>
  <c r="I393" i="9"/>
  <c r="I392" i="9"/>
  <c r="I391" i="9"/>
  <c r="I390" i="9"/>
  <c r="C36" i="1" l="1"/>
  <c r="C77" i="1" l="1"/>
  <c r="C70" i="1"/>
  <c r="C53" i="1"/>
  <c r="C44" i="1"/>
  <c r="C43" i="1"/>
  <c r="C27" i="1"/>
  <c r="C26" i="1"/>
  <c r="C15" i="1"/>
  <c r="C14" i="1"/>
  <c r="C13" i="1"/>
  <c r="C12" i="1"/>
  <c r="C11" i="1"/>
  <c r="C10" i="1"/>
  <c r="C9" i="1"/>
  <c r="G36" i="6"/>
  <c r="G35" i="6"/>
  <c r="F36" i="6"/>
  <c r="F35" i="6"/>
  <c r="Q2" i="7" l="1"/>
  <c r="S390" i="7" l="1"/>
  <c r="S389" i="7"/>
  <c r="S388" i="7"/>
  <c r="S387" i="7"/>
  <c r="S386" i="7"/>
  <c r="S385" i="7"/>
  <c r="S384" i="7"/>
  <c r="S383" i="7"/>
  <c r="S382" i="7"/>
  <c r="S381" i="7"/>
  <c r="S380" i="7"/>
  <c r="S379" i="7"/>
  <c r="S378" i="7"/>
  <c r="S377" i="7"/>
  <c r="S376" i="7"/>
  <c r="S375" i="7"/>
  <c r="S374" i="7"/>
  <c r="S373" i="7"/>
  <c r="S372" i="7"/>
  <c r="S371" i="7"/>
  <c r="S370" i="7"/>
  <c r="S369" i="7"/>
  <c r="S368" i="7"/>
  <c r="S367" i="7"/>
  <c r="S366" i="7"/>
  <c r="S365" i="7"/>
  <c r="S364" i="7"/>
  <c r="S363" i="7"/>
  <c r="S362" i="7"/>
  <c r="S361" i="7"/>
  <c r="S360" i="7"/>
  <c r="S359" i="7"/>
  <c r="S358" i="7"/>
  <c r="S357" i="7"/>
  <c r="S356" i="7"/>
  <c r="S355" i="7"/>
  <c r="S354" i="7"/>
  <c r="S353" i="7"/>
  <c r="S352" i="7"/>
  <c r="S351" i="7"/>
  <c r="S350" i="7"/>
  <c r="S349" i="7"/>
  <c r="S348" i="7"/>
  <c r="S347" i="7"/>
  <c r="S346" i="7"/>
  <c r="S345" i="7"/>
  <c r="S344" i="7"/>
  <c r="S343" i="7"/>
  <c r="S342" i="7"/>
  <c r="S341" i="7"/>
  <c r="S340" i="7"/>
  <c r="S339" i="7"/>
  <c r="S338" i="7"/>
  <c r="S337" i="7"/>
  <c r="S336" i="7"/>
  <c r="S335" i="7"/>
  <c r="S334" i="7"/>
  <c r="S333" i="7"/>
  <c r="S332" i="7"/>
  <c r="S331" i="7"/>
  <c r="S330" i="7"/>
  <c r="S329" i="7"/>
  <c r="S328" i="7"/>
  <c r="S327" i="7"/>
  <c r="S326" i="7"/>
  <c r="S325" i="7"/>
  <c r="S324" i="7"/>
  <c r="S323" i="7"/>
  <c r="S322" i="7"/>
  <c r="S321" i="7"/>
  <c r="S320" i="7"/>
  <c r="S319" i="7"/>
  <c r="S318" i="7"/>
  <c r="S317" i="7"/>
  <c r="S316" i="7"/>
  <c r="S315" i="7"/>
  <c r="S314" i="7"/>
  <c r="S313" i="7"/>
  <c r="S312" i="7"/>
  <c r="S311" i="7"/>
  <c r="S310" i="7"/>
  <c r="S309" i="7"/>
  <c r="S308" i="7"/>
  <c r="S307" i="7"/>
  <c r="S306" i="7"/>
  <c r="S305" i="7"/>
  <c r="S304" i="7"/>
  <c r="S303" i="7"/>
  <c r="S302" i="7"/>
  <c r="S301" i="7"/>
  <c r="S300" i="7"/>
  <c r="S299" i="7"/>
  <c r="S298" i="7"/>
  <c r="S297" i="7"/>
  <c r="S296" i="7"/>
  <c r="S295" i="7"/>
  <c r="S294" i="7"/>
  <c r="S293" i="7"/>
  <c r="S292" i="7"/>
  <c r="S291" i="7"/>
  <c r="S290" i="7"/>
  <c r="S289" i="7"/>
  <c r="S288" i="7"/>
  <c r="S287" i="7"/>
  <c r="S286" i="7"/>
  <c r="S285" i="7"/>
  <c r="S284" i="7"/>
  <c r="S283" i="7"/>
  <c r="S282" i="7"/>
  <c r="S281" i="7"/>
  <c r="S280" i="7"/>
  <c r="S279" i="7"/>
  <c r="S278" i="7"/>
  <c r="S277" i="7"/>
  <c r="S276" i="7"/>
  <c r="S275" i="7"/>
  <c r="S274" i="7"/>
  <c r="S273" i="7"/>
  <c r="S272" i="7"/>
  <c r="S271" i="7"/>
  <c r="S270" i="7"/>
  <c r="S269" i="7"/>
  <c r="S268" i="7"/>
  <c r="S267" i="7"/>
  <c r="S266" i="7"/>
  <c r="S265" i="7"/>
  <c r="S264" i="7"/>
  <c r="S263" i="7"/>
  <c r="S262" i="7"/>
  <c r="S261" i="7"/>
  <c r="S260" i="7"/>
  <c r="S259" i="7"/>
  <c r="S258" i="7"/>
  <c r="S257" i="7"/>
  <c r="S256" i="7"/>
  <c r="S255" i="7"/>
  <c r="S254" i="7"/>
  <c r="S253" i="7"/>
  <c r="S252" i="7"/>
  <c r="S251" i="7"/>
  <c r="S250" i="7"/>
  <c r="S249" i="7"/>
  <c r="S248" i="7"/>
  <c r="S247" i="7"/>
  <c r="S246" i="7"/>
  <c r="S245" i="7"/>
  <c r="S244" i="7"/>
  <c r="S243" i="7"/>
  <c r="S242" i="7"/>
  <c r="S241" i="7"/>
  <c r="S240" i="7"/>
  <c r="S239" i="7"/>
  <c r="S238" i="7"/>
  <c r="S237" i="7"/>
  <c r="S236" i="7"/>
  <c r="S235" i="7"/>
  <c r="S234" i="7"/>
  <c r="S233" i="7"/>
  <c r="S232" i="7"/>
  <c r="S231" i="7"/>
  <c r="S230" i="7"/>
  <c r="S229" i="7"/>
  <c r="S228" i="7"/>
  <c r="S227" i="7"/>
  <c r="S226" i="7"/>
  <c r="S225" i="7"/>
  <c r="S224" i="7"/>
  <c r="S223" i="7"/>
  <c r="S222" i="7"/>
  <c r="S221" i="7"/>
  <c r="S220" i="7"/>
  <c r="S219" i="7"/>
  <c r="S218" i="7"/>
  <c r="S217" i="7"/>
  <c r="S216" i="7"/>
  <c r="S215" i="7"/>
  <c r="S214" i="7"/>
  <c r="S213" i="7"/>
  <c r="S212" i="7"/>
  <c r="S211" i="7"/>
  <c r="S210" i="7"/>
  <c r="S209" i="7"/>
  <c r="S208" i="7"/>
  <c r="S207" i="7"/>
  <c r="S206" i="7"/>
  <c r="S205" i="7"/>
  <c r="S204" i="7"/>
  <c r="S203" i="7"/>
  <c r="S202" i="7"/>
  <c r="S201" i="7"/>
  <c r="S200" i="7"/>
  <c r="S199" i="7"/>
  <c r="S198" i="7"/>
  <c r="S197" i="7"/>
  <c r="S196" i="7"/>
  <c r="S195" i="7"/>
  <c r="S194" i="7"/>
  <c r="S193" i="7"/>
  <c r="S192" i="7"/>
  <c r="S191" i="7"/>
  <c r="S190" i="7"/>
  <c r="S189" i="7"/>
  <c r="S188" i="7"/>
  <c r="S187" i="7"/>
  <c r="S186" i="7"/>
  <c r="S185" i="7"/>
  <c r="S184" i="7"/>
  <c r="S183" i="7"/>
  <c r="S182" i="7"/>
  <c r="S181" i="7"/>
  <c r="S180" i="7"/>
  <c r="S179" i="7"/>
  <c r="S178" i="7"/>
  <c r="S177" i="7"/>
  <c r="S176" i="7"/>
  <c r="S175" i="7"/>
  <c r="S174" i="7"/>
  <c r="S173" i="7"/>
  <c r="S172" i="7"/>
  <c r="S171" i="7"/>
  <c r="S170" i="7"/>
  <c r="S169" i="7"/>
  <c r="S168" i="7"/>
  <c r="S167" i="7"/>
  <c r="S166" i="7"/>
  <c r="S165" i="7"/>
  <c r="S164" i="7"/>
  <c r="S163" i="7"/>
  <c r="S162"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S4" i="7"/>
  <c r="S3" i="7"/>
  <c r="S2" i="7"/>
  <c r="V7" i="7"/>
  <c r="V6" i="7"/>
  <c r="V3" i="7"/>
  <c r="V2" i="7"/>
  <c r="V1" i="7"/>
  <c r="C20" i="4"/>
  <c r="C19" i="4"/>
  <c r="C18" i="4"/>
  <c r="M211" i="10"/>
  <c r="L211" i="10"/>
  <c r="N211" i="10" s="1"/>
  <c r="K211" i="10"/>
  <c r="G211" i="10" s="1"/>
  <c r="K210" i="10"/>
  <c r="G210" i="10" s="1"/>
  <c r="L210" i="10"/>
  <c r="M210" i="10"/>
  <c r="M410" i="10"/>
  <c r="L410" i="10"/>
  <c r="K410" i="10"/>
  <c r="G410" i="10" s="1"/>
  <c r="M409" i="10"/>
  <c r="L409" i="10"/>
  <c r="K409" i="10"/>
  <c r="G409" i="10" s="1"/>
  <c r="M408" i="10"/>
  <c r="L408" i="10"/>
  <c r="K408" i="10"/>
  <c r="G408" i="10" s="1"/>
  <c r="M407" i="10"/>
  <c r="L407" i="10"/>
  <c r="K407" i="10"/>
  <c r="G407" i="10" s="1"/>
  <c r="Q210" i="7"/>
  <c r="P210" i="7"/>
  <c r="P411" i="7"/>
  <c r="Q411" i="7"/>
  <c r="S411" i="7"/>
  <c r="S410" i="7"/>
  <c r="O410" i="7"/>
  <c r="N410" i="7"/>
  <c r="M410" i="7"/>
  <c r="L410" i="7"/>
  <c r="K410" i="7"/>
  <c r="J410" i="7"/>
  <c r="I410" i="7"/>
  <c r="H410" i="7"/>
  <c r="G410" i="7"/>
  <c r="F410" i="7"/>
  <c r="E410" i="7"/>
  <c r="D410" i="7"/>
  <c r="S409" i="7"/>
  <c r="Q409" i="7"/>
  <c r="P409" i="7"/>
  <c r="S408" i="7"/>
  <c r="Q408" i="7"/>
  <c r="P408" i="7"/>
  <c r="S407" i="7"/>
  <c r="Q407" i="7"/>
  <c r="P407" i="7"/>
  <c r="AA410" i="9"/>
  <c r="Z410" i="9"/>
  <c r="Y410" i="9"/>
  <c r="X410" i="9"/>
  <c r="W410" i="9"/>
  <c r="V410" i="9"/>
  <c r="U410" i="9"/>
  <c r="T410" i="9"/>
  <c r="S410" i="9"/>
  <c r="R410" i="9"/>
  <c r="Q410" i="9"/>
  <c r="P410" i="9"/>
  <c r="O410" i="9"/>
  <c r="N410" i="9"/>
  <c r="M410" i="9"/>
  <c r="L410" i="9"/>
  <c r="K410" i="9"/>
  <c r="J410" i="9"/>
  <c r="H410" i="9"/>
  <c r="G410" i="9"/>
  <c r="F410" i="9"/>
  <c r="E410" i="9"/>
  <c r="D410" i="9"/>
  <c r="D402" i="8"/>
  <c r="D401" i="8"/>
  <c r="D400" i="8"/>
  <c r="D399" i="8"/>
  <c r="D398" i="8"/>
  <c r="D397" i="8"/>
  <c r="D396" i="8"/>
  <c r="D395" i="8"/>
  <c r="D394" i="8"/>
  <c r="D393" i="8"/>
  <c r="D392" i="8"/>
  <c r="D391" i="8"/>
  <c r="Z401" i="8"/>
  <c r="Y401" i="8"/>
  <c r="X401" i="8"/>
  <c r="W401" i="8"/>
  <c r="V401" i="8"/>
  <c r="U401" i="8"/>
  <c r="T401" i="8"/>
  <c r="S401" i="8"/>
  <c r="R401" i="8"/>
  <c r="Q401" i="8"/>
  <c r="P401" i="8"/>
  <c r="Z402" i="8"/>
  <c r="Y402" i="8"/>
  <c r="X402" i="8"/>
  <c r="W402" i="8"/>
  <c r="V402" i="8"/>
  <c r="U402" i="8"/>
  <c r="T402" i="8"/>
  <c r="S402" i="8"/>
  <c r="R402" i="8"/>
  <c r="Q402" i="8"/>
  <c r="P402" i="8"/>
  <c r="Z400" i="8"/>
  <c r="Y400" i="8"/>
  <c r="X400" i="8"/>
  <c r="W400" i="8"/>
  <c r="V400" i="8"/>
  <c r="U400" i="8"/>
  <c r="T400" i="8"/>
  <c r="S400" i="8"/>
  <c r="R400" i="8"/>
  <c r="Q400" i="8"/>
  <c r="P400" i="8"/>
  <c r="Z399" i="8"/>
  <c r="Y399" i="8"/>
  <c r="X399" i="8"/>
  <c r="W399" i="8"/>
  <c r="V399" i="8"/>
  <c r="U399" i="8"/>
  <c r="T399" i="8"/>
  <c r="S399" i="8"/>
  <c r="R399" i="8"/>
  <c r="Q399" i="8"/>
  <c r="P399" i="8"/>
  <c r="Z398" i="8"/>
  <c r="Y398" i="8"/>
  <c r="X398" i="8"/>
  <c r="W398" i="8"/>
  <c r="V398" i="8"/>
  <c r="U398" i="8"/>
  <c r="T398" i="8"/>
  <c r="S398" i="8"/>
  <c r="R398" i="8"/>
  <c r="Q398" i="8"/>
  <c r="P398" i="8"/>
  <c r="Z397" i="8"/>
  <c r="Y397" i="8"/>
  <c r="X397" i="8"/>
  <c r="W397" i="8"/>
  <c r="V397" i="8"/>
  <c r="U397" i="8"/>
  <c r="T397" i="8"/>
  <c r="S397" i="8"/>
  <c r="R397" i="8"/>
  <c r="Q397" i="8"/>
  <c r="P397" i="8"/>
  <c r="Z396" i="8"/>
  <c r="Y396" i="8"/>
  <c r="X396" i="8"/>
  <c r="W396" i="8"/>
  <c r="V396" i="8"/>
  <c r="U396" i="8"/>
  <c r="T396" i="8"/>
  <c r="S396" i="8"/>
  <c r="R396" i="8"/>
  <c r="Q396" i="8"/>
  <c r="P396" i="8"/>
  <c r="Z395" i="8"/>
  <c r="Y395" i="8"/>
  <c r="X395" i="8"/>
  <c r="W395" i="8"/>
  <c r="V395" i="8"/>
  <c r="U395" i="8"/>
  <c r="T395" i="8"/>
  <c r="S395" i="8"/>
  <c r="R395" i="8"/>
  <c r="Q395" i="8"/>
  <c r="P395" i="8"/>
  <c r="Z394" i="8"/>
  <c r="Y394" i="8"/>
  <c r="X394" i="8"/>
  <c r="W394" i="8"/>
  <c r="V394" i="8"/>
  <c r="U394" i="8"/>
  <c r="T394" i="8"/>
  <c r="S394" i="8"/>
  <c r="R394" i="8"/>
  <c r="Q394" i="8"/>
  <c r="P394" i="8"/>
  <c r="Z393" i="8"/>
  <c r="Y393" i="8"/>
  <c r="X393" i="8"/>
  <c r="W393" i="8"/>
  <c r="V393" i="8"/>
  <c r="U393" i="8"/>
  <c r="T393" i="8"/>
  <c r="S393" i="8"/>
  <c r="R393" i="8"/>
  <c r="Q393" i="8"/>
  <c r="P393" i="8"/>
  <c r="Z392" i="8"/>
  <c r="Y392" i="8"/>
  <c r="X392" i="8"/>
  <c r="W392" i="8"/>
  <c r="V392" i="8"/>
  <c r="U392" i="8"/>
  <c r="T392" i="8"/>
  <c r="S392" i="8"/>
  <c r="R392" i="8"/>
  <c r="Q392" i="8"/>
  <c r="P392" i="8"/>
  <c r="Z391" i="8"/>
  <c r="Y391" i="8"/>
  <c r="X391" i="8"/>
  <c r="W391" i="8"/>
  <c r="V391" i="8"/>
  <c r="U391" i="8"/>
  <c r="T391" i="8"/>
  <c r="S391" i="8"/>
  <c r="R391" i="8"/>
  <c r="Q391" i="8"/>
  <c r="P391" i="8"/>
  <c r="G210" i="8"/>
  <c r="F210" i="8"/>
  <c r="D210" i="8"/>
  <c r="D413" i="8"/>
  <c r="F413" i="8"/>
  <c r="G413" i="8"/>
  <c r="G412" i="8"/>
  <c r="F412" i="8"/>
  <c r="D412" i="8"/>
  <c r="G410" i="8"/>
  <c r="F410" i="8"/>
  <c r="D410" i="8"/>
  <c r="G411" i="8"/>
  <c r="F411" i="8"/>
  <c r="D411" i="8"/>
  <c r="N410" i="10" l="1"/>
  <c r="N409" i="10"/>
  <c r="N407" i="10"/>
  <c r="N408" i="10"/>
  <c r="N210" i="10"/>
  <c r="Q410" i="7"/>
  <c r="P410" i="7"/>
  <c r="C88" i="1" l="1"/>
  <c r="N5" i="4"/>
  <c r="G64" i="1"/>
  <c r="G30" i="1" l="1"/>
  <c r="G21" i="1"/>
  <c r="G11" i="1"/>
  <c r="G87" i="1" l="1"/>
  <c r="X22" i="4"/>
  <c r="T22" i="4"/>
  <c r="C10" i="4"/>
  <c r="J402" i="8"/>
  <c r="J401" i="8"/>
  <c r="J400" i="8"/>
  <c r="J399" i="8"/>
  <c r="J398" i="8"/>
  <c r="J397" i="8"/>
  <c r="J396" i="8"/>
  <c r="J395" i="8"/>
  <c r="J394" i="8"/>
  <c r="J393" i="8"/>
  <c r="J392" i="8"/>
  <c r="J391" i="8"/>
  <c r="J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F2" i="8"/>
  <c r="Z390" i="8"/>
  <c r="Y390" i="8"/>
  <c r="X390" i="8"/>
  <c r="W390" i="8"/>
  <c r="V390" i="8"/>
  <c r="U390" i="8"/>
  <c r="T390" i="8"/>
  <c r="S390" i="8"/>
  <c r="R390" i="8"/>
  <c r="Q390" i="8"/>
  <c r="P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Q389" i="7"/>
  <c r="Q388" i="7"/>
  <c r="Q387" i="7"/>
  <c r="Q386" i="7"/>
  <c r="Q385" i="7"/>
  <c r="Q384" i="7"/>
  <c r="Q383" i="7"/>
  <c r="Q382" i="7"/>
  <c r="Q381" i="7"/>
  <c r="Q380" i="7"/>
  <c r="Q379" i="7"/>
  <c r="Q378" i="7"/>
  <c r="Q377" i="7"/>
  <c r="Q376" i="7"/>
  <c r="Q375" i="7"/>
  <c r="Q374" i="7"/>
  <c r="Q373" i="7"/>
  <c r="Q372" i="7"/>
  <c r="Q371" i="7"/>
  <c r="Q370" i="7"/>
  <c r="Q369" i="7"/>
  <c r="Q368" i="7"/>
  <c r="Q367" i="7"/>
  <c r="Q366" i="7"/>
  <c r="Q365" i="7"/>
  <c r="Q364" i="7"/>
  <c r="Q363" i="7"/>
  <c r="Q362" i="7"/>
  <c r="Q361" i="7"/>
  <c r="Q360" i="7"/>
  <c r="Q359" i="7"/>
  <c r="Q358" i="7"/>
  <c r="Q357" i="7"/>
  <c r="Q356" i="7"/>
  <c r="Q355" i="7"/>
  <c r="Q354" i="7"/>
  <c r="Q353" i="7"/>
  <c r="Q352" i="7"/>
  <c r="Q351" i="7"/>
  <c r="Q350" i="7"/>
  <c r="Q349" i="7"/>
  <c r="Q348" i="7"/>
  <c r="Q347" i="7"/>
  <c r="Q346" i="7"/>
  <c r="Q345" i="7"/>
  <c r="Q344" i="7"/>
  <c r="Q343" i="7"/>
  <c r="Q342" i="7"/>
  <c r="Q341" i="7"/>
  <c r="Q340" i="7"/>
  <c r="Q339" i="7"/>
  <c r="Q338" i="7"/>
  <c r="Q337" i="7"/>
  <c r="Q336" i="7"/>
  <c r="Q335" i="7"/>
  <c r="Q334" i="7"/>
  <c r="Q333" i="7"/>
  <c r="Q332" i="7"/>
  <c r="Q331" i="7"/>
  <c r="Q330" i="7"/>
  <c r="Q329" i="7"/>
  <c r="Q328" i="7"/>
  <c r="Q327" i="7"/>
  <c r="Q326" i="7"/>
  <c r="Q325" i="7"/>
  <c r="Q324" i="7"/>
  <c r="Q323" i="7"/>
  <c r="Q322" i="7"/>
  <c r="Q321" i="7"/>
  <c r="Q320" i="7"/>
  <c r="Q319" i="7"/>
  <c r="Q318" i="7"/>
  <c r="Q317" i="7"/>
  <c r="Q316" i="7"/>
  <c r="Q315" i="7"/>
  <c r="Q314" i="7"/>
  <c r="Q313" i="7"/>
  <c r="Q312" i="7"/>
  <c r="Q311" i="7"/>
  <c r="Q310" i="7"/>
  <c r="Q309" i="7"/>
  <c r="Q308" i="7"/>
  <c r="Q307" i="7"/>
  <c r="Q306" i="7"/>
  <c r="Q305" i="7"/>
  <c r="Q304" i="7"/>
  <c r="Q303" i="7"/>
  <c r="Q302" i="7"/>
  <c r="Q301" i="7"/>
  <c r="Q300" i="7"/>
  <c r="Q299" i="7"/>
  <c r="Q298" i="7"/>
  <c r="Q297" i="7"/>
  <c r="Q296" i="7"/>
  <c r="Q295" i="7"/>
  <c r="Q294" i="7"/>
  <c r="Q293" i="7"/>
  <c r="Q292" i="7"/>
  <c r="Q291" i="7"/>
  <c r="Q290" i="7"/>
  <c r="Q289" i="7"/>
  <c r="Q288" i="7"/>
  <c r="Q287" i="7"/>
  <c r="Q286" i="7"/>
  <c r="Q285" i="7"/>
  <c r="Q284" i="7"/>
  <c r="Q283" i="7"/>
  <c r="Q282" i="7"/>
  <c r="Q281" i="7"/>
  <c r="Q280" i="7"/>
  <c r="Q279" i="7"/>
  <c r="Q278" i="7"/>
  <c r="Q277" i="7"/>
  <c r="Q276" i="7"/>
  <c r="Q275" i="7"/>
  <c r="Q274" i="7"/>
  <c r="Q273" i="7"/>
  <c r="Q272" i="7"/>
  <c r="Q271" i="7"/>
  <c r="Q270" i="7"/>
  <c r="Q269" i="7"/>
  <c r="Q268" i="7"/>
  <c r="Q267" i="7"/>
  <c r="Q266" i="7"/>
  <c r="Q265" i="7"/>
  <c r="Q264" i="7"/>
  <c r="Q263" i="7"/>
  <c r="Q262" i="7"/>
  <c r="Q261" i="7"/>
  <c r="Q260" i="7"/>
  <c r="Q259" i="7"/>
  <c r="Q258" i="7"/>
  <c r="Q257" i="7"/>
  <c r="Q256" i="7"/>
  <c r="Q255" i="7"/>
  <c r="Q254" i="7"/>
  <c r="Q253" i="7"/>
  <c r="Q252" i="7"/>
  <c r="Q251" i="7"/>
  <c r="Q250" i="7"/>
  <c r="Q249" i="7"/>
  <c r="Q248" i="7"/>
  <c r="Q247" i="7"/>
  <c r="Q246" i="7"/>
  <c r="Q245" i="7"/>
  <c r="Q244" i="7"/>
  <c r="Q243" i="7"/>
  <c r="Q242" i="7"/>
  <c r="Q241" i="7"/>
  <c r="Q240" i="7"/>
  <c r="Q239" i="7"/>
  <c r="Q238" i="7"/>
  <c r="Q237" i="7"/>
  <c r="Q236" i="7"/>
  <c r="Q235" i="7"/>
  <c r="Q234" i="7"/>
  <c r="Q233" i="7"/>
  <c r="Q232" i="7"/>
  <c r="Q231" i="7"/>
  <c r="Q230" i="7"/>
  <c r="Q229" i="7"/>
  <c r="Q228" i="7"/>
  <c r="Q227" i="7"/>
  <c r="Q226" i="7"/>
  <c r="Q225" i="7"/>
  <c r="Q224" i="7"/>
  <c r="Q223" i="7"/>
  <c r="Q222" i="7"/>
  <c r="Q221" i="7"/>
  <c r="Q220" i="7"/>
  <c r="Q219" i="7"/>
  <c r="Q218" i="7"/>
  <c r="Q217" i="7"/>
  <c r="Q216" i="7"/>
  <c r="Q215" i="7"/>
  <c r="Q214" i="7"/>
  <c r="Q213" i="7"/>
  <c r="Q212" i="7"/>
  <c r="Q211" i="7"/>
  <c r="Q209" i="7"/>
  <c r="Q208" i="7"/>
  <c r="Q207" i="7"/>
  <c r="Q206" i="7"/>
  <c r="Q205" i="7"/>
  <c r="Q204" i="7"/>
  <c r="Q203" i="7"/>
  <c r="Q202" i="7"/>
  <c r="Q201" i="7"/>
  <c r="Q200" i="7"/>
  <c r="Q199" i="7"/>
  <c r="Q198" i="7"/>
  <c r="Q197" i="7"/>
  <c r="Q196" i="7"/>
  <c r="Q195" i="7"/>
  <c r="Q194" i="7"/>
  <c r="Q193" i="7"/>
  <c r="Q192" i="7"/>
  <c r="Q191" i="7"/>
  <c r="Q190"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P389" i="7"/>
  <c r="P388" i="7"/>
  <c r="P387" i="7"/>
  <c r="P386" i="7"/>
  <c r="P385" i="7"/>
  <c r="P384" i="7"/>
  <c r="P383" i="7"/>
  <c r="P382" i="7"/>
  <c r="P381" i="7"/>
  <c r="P380" i="7"/>
  <c r="P379" i="7"/>
  <c r="P378" i="7"/>
  <c r="P377" i="7"/>
  <c r="P376" i="7"/>
  <c r="P375" i="7"/>
  <c r="P374" i="7"/>
  <c r="P373" i="7"/>
  <c r="P372" i="7"/>
  <c r="P371" i="7"/>
  <c r="P370" i="7"/>
  <c r="P369" i="7"/>
  <c r="P368" i="7"/>
  <c r="P367" i="7"/>
  <c r="P366" i="7"/>
  <c r="P365" i="7"/>
  <c r="P364" i="7"/>
  <c r="P363" i="7"/>
  <c r="P362" i="7"/>
  <c r="P361" i="7"/>
  <c r="P360" i="7"/>
  <c r="P359" i="7"/>
  <c r="P358" i="7"/>
  <c r="P357" i="7"/>
  <c r="P356" i="7"/>
  <c r="P355" i="7"/>
  <c r="P354" i="7"/>
  <c r="P353" i="7"/>
  <c r="P352" i="7"/>
  <c r="P351" i="7"/>
  <c r="P350" i="7"/>
  <c r="P349" i="7"/>
  <c r="P348" i="7"/>
  <c r="P347" i="7"/>
  <c r="P346" i="7"/>
  <c r="P345" i="7"/>
  <c r="P344" i="7"/>
  <c r="P343" i="7"/>
  <c r="P342" i="7"/>
  <c r="P341" i="7"/>
  <c r="P340" i="7"/>
  <c r="P339" i="7"/>
  <c r="P338" i="7"/>
  <c r="P337" i="7"/>
  <c r="P336" i="7"/>
  <c r="P335" i="7"/>
  <c r="P334" i="7"/>
  <c r="P333" i="7"/>
  <c r="P332" i="7"/>
  <c r="P331" i="7"/>
  <c r="P330" i="7"/>
  <c r="P329" i="7"/>
  <c r="P328" i="7"/>
  <c r="P327" i="7"/>
  <c r="P326" i="7"/>
  <c r="P325" i="7"/>
  <c r="P324" i="7"/>
  <c r="P323" i="7"/>
  <c r="P322" i="7"/>
  <c r="P321" i="7"/>
  <c r="P320" i="7"/>
  <c r="P319" i="7"/>
  <c r="P318" i="7"/>
  <c r="P317" i="7"/>
  <c r="P316" i="7"/>
  <c r="P315" i="7"/>
  <c r="P314" i="7"/>
  <c r="P313" i="7"/>
  <c r="P312" i="7"/>
  <c r="P311" i="7"/>
  <c r="P310" i="7"/>
  <c r="P309" i="7"/>
  <c r="P308" i="7"/>
  <c r="P307" i="7"/>
  <c r="P306" i="7"/>
  <c r="P305" i="7"/>
  <c r="P304" i="7"/>
  <c r="P303" i="7"/>
  <c r="P302" i="7"/>
  <c r="P301" i="7"/>
  <c r="P300" i="7"/>
  <c r="P299" i="7"/>
  <c r="P298" i="7"/>
  <c r="P297" i="7"/>
  <c r="P296" i="7"/>
  <c r="P295" i="7"/>
  <c r="P294" i="7"/>
  <c r="P293" i="7"/>
  <c r="P292" i="7"/>
  <c r="P291" i="7"/>
  <c r="P290" i="7"/>
  <c r="P289" i="7"/>
  <c r="P288" i="7"/>
  <c r="P287" i="7"/>
  <c r="P286" i="7"/>
  <c r="P285" i="7"/>
  <c r="P284" i="7"/>
  <c r="P283" i="7"/>
  <c r="P282" i="7"/>
  <c r="P281" i="7"/>
  <c r="P280" i="7"/>
  <c r="P279" i="7"/>
  <c r="P278" i="7"/>
  <c r="P277" i="7"/>
  <c r="P276" i="7"/>
  <c r="P275" i="7"/>
  <c r="P274" i="7"/>
  <c r="P273" i="7"/>
  <c r="P272" i="7"/>
  <c r="P271" i="7"/>
  <c r="P270" i="7"/>
  <c r="P269" i="7"/>
  <c r="P268" i="7"/>
  <c r="P267" i="7"/>
  <c r="P266" i="7"/>
  <c r="P265" i="7"/>
  <c r="P264" i="7"/>
  <c r="P263" i="7"/>
  <c r="P262" i="7"/>
  <c r="P261" i="7"/>
  <c r="P260" i="7"/>
  <c r="P259" i="7"/>
  <c r="P258" i="7"/>
  <c r="P257" i="7"/>
  <c r="P256" i="7"/>
  <c r="P255" i="7"/>
  <c r="P254" i="7"/>
  <c r="P253" i="7"/>
  <c r="P252" i="7"/>
  <c r="P251" i="7"/>
  <c r="P250" i="7"/>
  <c r="P249" i="7"/>
  <c r="P248" i="7"/>
  <c r="P247" i="7"/>
  <c r="P246" i="7"/>
  <c r="P245" i="7"/>
  <c r="P244" i="7"/>
  <c r="P243" i="7"/>
  <c r="P242" i="7"/>
  <c r="P241" i="7"/>
  <c r="P240" i="7"/>
  <c r="P239" i="7"/>
  <c r="P238" i="7"/>
  <c r="P237" i="7"/>
  <c r="P236" i="7"/>
  <c r="P235" i="7"/>
  <c r="P234" i="7"/>
  <c r="P233" i="7"/>
  <c r="P232" i="7"/>
  <c r="P231" i="7"/>
  <c r="P230" i="7"/>
  <c r="P229" i="7"/>
  <c r="P228" i="7"/>
  <c r="P227" i="7"/>
  <c r="P226" i="7"/>
  <c r="P225" i="7"/>
  <c r="P224" i="7"/>
  <c r="P223" i="7"/>
  <c r="P222" i="7"/>
  <c r="P221" i="7"/>
  <c r="P220" i="7"/>
  <c r="P219" i="7"/>
  <c r="P218" i="7"/>
  <c r="P217" i="7"/>
  <c r="P216" i="7"/>
  <c r="P215" i="7"/>
  <c r="P214" i="7"/>
  <c r="P213" i="7"/>
  <c r="P212" i="7"/>
  <c r="P211"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D390" i="8" l="1"/>
  <c r="C12" i="4" s="1"/>
  <c r="O402" i="7"/>
  <c r="O401" i="7"/>
  <c r="O400" i="7"/>
  <c r="O399" i="7"/>
  <c r="O398" i="7"/>
  <c r="O397" i="7"/>
  <c r="O396" i="7"/>
  <c r="O395" i="7"/>
  <c r="O394" i="7"/>
  <c r="O393" i="7"/>
  <c r="O392" i="7"/>
  <c r="O391" i="7"/>
  <c r="N402" i="7"/>
  <c r="N401" i="7"/>
  <c r="N400" i="7"/>
  <c r="N399" i="7"/>
  <c r="N398" i="7"/>
  <c r="N397" i="7"/>
  <c r="N396" i="7"/>
  <c r="N395" i="7"/>
  <c r="N394" i="7"/>
  <c r="N393" i="7"/>
  <c r="N392" i="7"/>
  <c r="N391" i="7"/>
  <c r="N390" i="7"/>
  <c r="O390" i="7"/>
  <c r="G86" i="1" l="1"/>
  <c r="C21" i="6"/>
  <c r="C8" i="6"/>
  <c r="J7" i="1" l="1"/>
  <c r="G17" i="6"/>
  <c r="C17" i="6"/>
  <c r="C3" i="3"/>
  <c r="G88" i="1"/>
  <c r="C87" i="1" l="1"/>
  <c r="F44" i="6"/>
  <c r="T30" i="4" s="1"/>
  <c r="F40" i="6"/>
  <c r="T24" i="4" s="1"/>
  <c r="K29" i="3"/>
  <c r="L29" i="3"/>
  <c r="G19" i="6"/>
  <c r="G21" i="6"/>
  <c r="M29" i="3"/>
  <c r="E29" i="3"/>
  <c r="B15" i="6"/>
  <c r="D29" i="3"/>
  <c r="C29" i="3"/>
  <c r="C11" i="6"/>
  <c r="G3" i="3"/>
  <c r="B23" i="6"/>
  <c r="D3" i="3"/>
  <c r="B9" i="6"/>
  <c r="J10" i="1"/>
  <c r="J8" i="1"/>
  <c r="J5" i="1"/>
  <c r="J3" i="1" s="1"/>
  <c r="J4" i="1"/>
  <c r="J2" i="1"/>
  <c r="W10" i="3"/>
  <c r="W9" i="3"/>
  <c r="W8" i="3"/>
  <c r="W7" i="3"/>
  <c r="W5" i="3"/>
  <c r="W3" i="3" s="1"/>
  <c r="W4" i="3"/>
  <c r="W2" i="3"/>
  <c r="C9" i="6" l="1"/>
  <c r="C6" i="6" s="1"/>
  <c r="F43" i="6"/>
  <c r="S4" i="4"/>
  <c r="B31" i="6"/>
  <c r="AA402" i="9"/>
  <c r="Z402" i="9"/>
  <c r="AA401" i="9"/>
  <c r="Z401" i="9"/>
  <c r="AA400" i="9"/>
  <c r="Z400" i="9"/>
  <c r="AA399" i="9"/>
  <c r="Z399" i="9"/>
  <c r="AA398" i="9"/>
  <c r="Z398" i="9"/>
  <c r="AA397" i="9"/>
  <c r="Z397" i="9"/>
  <c r="AA396" i="9"/>
  <c r="Z396" i="9"/>
  <c r="AA395" i="9"/>
  <c r="Z395" i="9"/>
  <c r="AA394" i="9"/>
  <c r="Z394" i="9"/>
  <c r="AA393" i="9"/>
  <c r="Z393" i="9"/>
  <c r="AA392" i="9"/>
  <c r="Z392" i="9"/>
  <c r="AA391" i="9"/>
  <c r="Z391" i="9"/>
  <c r="AA390" i="9"/>
  <c r="Z390" i="9"/>
  <c r="J390" i="10" l="1"/>
  <c r="R47" i="4" s="1"/>
  <c r="X47" i="4" s="1"/>
  <c r="I390" i="10"/>
  <c r="R48" i="4" s="1"/>
  <c r="X48" i="4" s="1"/>
  <c r="H390" i="10"/>
  <c r="R46" i="4" s="1"/>
  <c r="X46" i="4" s="1"/>
  <c r="C25" i="1" s="1"/>
  <c r="O390" i="10"/>
  <c r="M389" i="10"/>
  <c r="L389" i="10"/>
  <c r="M388" i="10"/>
  <c r="L388" i="10"/>
  <c r="M387" i="10"/>
  <c r="L387" i="10"/>
  <c r="M386" i="10"/>
  <c r="L386" i="10"/>
  <c r="M385" i="10"/>
  <c r="L385" i="10"/>
  <c r="M384" i="10"/>
  <c r="L384" i="10"/>
  <c r="M383" i="10"/>
  <c r="L383" i="10"/>
  <c r="M382" i="10"/>
  <c r="L382" i="10"/>
  <c r="M381" i="10"/>
  <c r="L381" i="10"/>
  <c r="M380" i="10"/>
  <c r="L380" i="10"/>
  <c r="M379" i="10"/>
  <c r="L379" i="10"/>
  <c r="M378" i="10"/>
  <c r="L378" i="10"/>
  <c r="M377" i="10"/>
  <c r="L377" i="10"/>
  <c r="M376" i="10"/>
  <c r="L376" i="10"/>
  <c r="M375" i="10"/>
  <c r="L375" i="10"/>
  <c r="M374" i="10"/>
  <c r="L374" i="10"/>
  <c r="M373" i="10"/>
  <c r="L373" i="10"/>
  <c r="M372" i="10"/>
  <c r="L372" i="10"/>
  <c r="M371" i="10"/>
  <c r="L371" i="10"/>
  <c r="M370" i="10"/>
  <c r="L370" i="10"/>
  <c r="M369" i="10"/>
  <c r="L369" i="10"/>
  <c r="M368" i="10"/>
  <c r="L368" i="10"/>
  <c r="M367" i="10"/>
  <c r="L367" i="10"/>
  <c r="M366" i="10"/>
  <c r="L366" i="10"/>
  <c r="M365" i="10"/>
  <c r="L365" i="10"/>
  <c r="M364" i="10"/>
  <c r="L364" i="10"/>
  <c r="M363" i="10"/>
  <c r="L363" i="10"/>
  <c r="M362" i="10"/>
  <c r="L362" i="10"/>
  <c r="M361" i="10"/>
  <c r="L361" i="10"/>
  <c r="M360" i="10"/>
  <c r="L360" i="10"/>
  <c r="M359" i="10"/>
  <c r="L359" i="10"/>
  <c r="M358" i="10"/>
  <c r="L358" i="10"/>
  <c r="M357" i="10"/>
  <c r="L357" i="10"/>
  <c r="M356" i="10"/>
  <c r="L356" i="10"/>
  <c r="M355" i="10"/>
  <c r="L355" i="10"/>
  <c r="M354" i="10"/>
  <c r="L354" i="10"/>
  <c r="M353" i="10"/>
  <c r="L353" i="10"/>
  <c r="M352" i="10"/>
  <c r="L352" i="10"/>
  <c r="M351" i="10"/>
  <c r="L351" i="10"/>
  <c r="M350" i="10"/>
  <c r="L350" i="10"/>
  <c r="M349" i="10"/>
  <c r="L349" i="10"/>
  <c r="M348" i="10"/>
  <c r="L348" i="10"/>
  <c r="M347" i="10"/>
  <c r="L347" i="10"/>
  <c r="M346" i="10"/>
  <c r="L346" i="10"/>
  <c r="M345" i="10"/>
  <c r="L345" i="10"/>
  <c r="M344" i="10"/>
  <c r="L344" i="10"/>
  <c r="M343" i="10"/>
  <c r="L343" i="10"/>
  <c r="M342" i="10"/>
  <c r="L342" i="10"/>
  <c r="M341" i="10"/>
  <c r="L341" i="10"/>
  <c r="M340" i="10"/>
  <c r="L340" i="10"/>
  <c r="M339" i="10"/>
  <c r="L339" i="10"/>
  <c r="M338" i="10"/>
  <c r="L338" i="10"/>
  <c r="M337" i="10"/>
  <c r="L337" i="10"/>
  <c r="M336" i="10"/>
  <c r="L336" i="10"/>
  <c r="M335" i="10"/>
  <c r="L335" i="10"/>
  <c r="M334" i="10"/>
  <c r="L334" i="10"/>
  <c r="M333" i="10"/>
  <c r="L333" i="10"/>
  <c r="M332" i="10"/>
  <c r="L332" i="10"/>
  <c r="M331" i="10"/>
  <c r="L331" i="10"/>
  <c r="M330" i="10"/>
  <c r="L330" i="10"/>
  <c r="M329" i="10"/>
  <c r="L329" i="10"/>
  <c r="M328" i="10"/>
  <c r="L328" i="10"/>
  <c r="M327" i="10"/>
  <c r="L327" i="10"/>
  <c r="M326" i="10"/>
  <c r="L326" i="10"/>
  <c r="M325" i="10"/>
  <c r="L325" i="10"/>
  <c r="M324" i="10"/>
  <c r="L324" i="10"/>
  <c r="M323" i="10"/>
  <c r="L323" i="10"/>
  <c r="M322" i="10"/>
  <c r="L322" i="10"/>
  <c r="M321" i="10"/>
  <c r="L321" i="10"/>
  <c r="M320" i="10"/>
  <c r="L320" i="10"/>
  <c r="M319" i="10"/>
  <c r="L319" i="10"/>
  <c r="M318" i="10"/>
  <c r="L318" i="10"/>
  <c r="M317" i="10"/>
  <c r="L317" i="10"/>
  <c r="M316" i="10"/>
  <c r="L316" i="10"/>
  <c r="M315" i="10"/>
  <c r="L315" i="10"/>
  <c r="M314" i="10"/>
  <c r="L314" i="10"/>
  <c r="M313" i="10"/>
  <c r="L313" i="10"/>
  <c r="M312" i="10"/>
  <c r="L312" i="10"/>
  <c r="M311" i="10"/>
  <c r="L311" i="10"/>
  <c r="M310" i="10"/>
  <c r="L310" i="10"/>
  <c r="M309" i="10"/>
  <c r="L309" i="10"/>
  <c r="M308" i="10"/>
  <c r="L308" i="10"/>
  <c r="M307" i="10"/>
  <c r="L307" i="10"/>
  <c r="M306" i="10"/>
  <c r="L306" i="10"/>
  <c r="M305" i="10"/>
  <c r="L305" i="10"/>
  <c r="M304" i="10"/>
  <c r="L304" i="10"/>
  <c r="M303" i="10"/>
  <c r="L303" i="10"/>
  <c r="M302" i="10"/>
  <c r="L302" i="10"/>
  <c r="M301" i="10"/>
  <c r="L301" i="10"/>
  <c r="M300" i="10"/>
  <c r="L300" i="10"/>
  <c r="M299" i="10"/>
  <c r="L299" i="10"/>
  <c r="M298" i="10"/>
  <c r="L298" i="10"/>
  <c r="M297" i="10"/>
  <c r="L297" i="10"/>
  <c r="M296" i="10"/>
  <c r="L296" i="10"/>
  <c r="M295" i="10"/>
  <c r="L295" i="10"/>
  <c r="M294" i="10"/>
  <c r="L294" i="10"/>
  <c r="M293" i="10"/>
  <c r="L293" i="10"/>
  <c r="M292" i="10"/>
  <c r="L292" i="10"/>
  <c r="M291" i="10"/>
  <c r="L291" i="10"/>
  <c r="M290" i="10"/>
  <c r="L290" i="10"/>
  <c r="M289" i="10"/>
  <c r="L289" i="10"/>
  <c r="M288" i="10"/>
  <c r="L288" i="10"/>
  <c r="M287" i="10"/>
  <c r="L287" i="10"/>
  <c r="M286" i="10"/>
  <c r="L286" i="10"/>
  <c r="M285" i="10"/>
  <c r="L285" i="10"/>
  <c r="M284" i="10"/>
  <c r="L284" i="10"/>
  <c r="M283" i="10"/>
  <c r="L283" i="10"/>
  <c r="M282" i="10"/>
  <c r="L282" i="10"/>
  <c r="M281" i="10"/>
  <c r="L281" i="10"/>
  <c r="M280" i="10"/>
  <c r="L280" i="10"/>
  <c r="M279" i="10"/>
  <c r="L279" i="10"/>
  <c r="M278" i="10"/>
  <c r="L278" i="10"/>
  <c r="M277" i="10"/>
  <c r="L277" i="10"/>
  <c r="M276" i="10"/>
  <c r="L276" i="10"/>
  <c r="M275" i="10"/>
  <c r="L275" i="10"/>
  <c r="M274" i="10"/>
  <c r="L274" i="10"/>
  <c r="M273" i="10"/>
  <c r="L273" i="10"/>
  <c r="M272" i="10"/>
  <c r="L272" i="10"/>
  <c r="M271" i="10"/>
  <c r="L271" i="10"/>
  <c r="M270" i="10"/>
  <c r="L270" i="10"/>
  <c r="M269" i="10"/>
  <c r="L269" i="10"/>
  <c r="M268" i="10"/>
  <c r="L268" i="10"/>
  <c r="M267" i="10"/>
  <c r="L267" i="10"/>
  <c r="M266" i="10"/>
  <c r="L266" i="10"/>
  <c r="M265" i="10"/>
  <c r="L265" i="10"/>
  <c r="M264" i="10"/>
  <c r="L264" i="10"/>
  <c r="M263" i="10"/>
  <c r="L263" i="10"/>
  <c r="M262" i="10"/>
  <c r="L262" i="10"/>
  <c r="M261" i="10"/>
  <c r="L261" i="10"/>
  <c r="M260" i="10"/>
  <c r="L260" i="10"/>
  <c r="M259" i="10"/>
  <c r="L259" i="10"/>
  <c r="M258" i="10"/>
  <c r="L258" i="10"/>
  <c r="M257" i="10"/>
  <c r="L257" i="10"/>
  <c r="M256" i="10"/>
  <c r="L256" i="10"/>
  <c r="M255" i="10"/>
  <c r="L255" i="10"/>
  <c r="M254" i="10"/>
  <c r="L254" i="10"/>
  <c r="M253" i="10"/>
  <c r="L253" i="10"/>
  <c r="M252" i="10"/>
  <c r="L252" i="10"/>
  <c r="M251" i="10"/>
  <c r="L251" i="10"/>
  <c r="M250" i="10"/>
  <c r="L250" i="10"/>
  <c r="M249" i="10"/>
  <c r="L249" i="10"/>
  <c r="M248" i="10"/>
  <c r="L248" i="10"/>
  <c r="M247" i="10"/>
  <c r="L247" i="10"/>
  <c r="M246" i="10"/>
  <c r="L246" i="10"/>
  <c r="M245" i="10"/>
  <c r="L245" i="10"/>
  <c r="M244" i="10"/>
  <c r="L244" i="10"/>
  <c r="M243" i="10"/>
  <c r="L243" i="10"/>
  <c r="M242" i="10"/>
  <c r="L242" i="10"/>
  <c r="M241" i="10"/>
  <c r="L241" i="10"/>
  <c r="M240" i="10"/>
  <c r="L240" i="10"/>
  <c r="M239" i="10"/>
  <c r="L239" i="10"/>
  <c r="M238" i="10"/>
  <c r="L238" i="10"/>
  <c r="M237" i="10"/>
  <c r="L237" i="10"/>
  <c r="M236" i="10"/>
  <c r="L236" i="10"/>
  <c r="M235" i="10"/>
  <c r="L235" i="10"/>
  <c r="M234" i="10"/>
  <c r="L234" i="10"/>
  <c r="M233" i="10"/>
  <c r="L233" i="10"/>
  <c r="M232" i="10"/>
  <c r="L232" i="10"/>
  <c r="M231" i="10"/>
  <c r="L231" i="10"/>
  <c r="M230" i="10"/>
  <c r="L230" i="10"/>
  <c r="M229" i="10"/>
  <c r="L229" i="10"/>
  <c r="M228" i="10"/>
  <c r="L228" i="10"/>
  <c r="M227" i="10"/>
  <c r="L227" i="10"/>
  <c r="M226" i="10"/>
  <c r="L226" i="10"/>
  <c r="M225" i="10"/>
  <c r="L225" i="10"/>
  <c r="M224" i="10"/>
  <c r="L224" i="10"/>
  <c r="M223" i="10"/>
  <c r="L223" i="10"/>
  <c r="M222" i="10"/>
  <c r="L222" i="10"/>
  <c r="M221" i="10"/>
  <c r="L221" i="10"/>
  <c r="M220" i="10"/>
  <c r="L220" i="10"/>
  <c r="M219" i="10"/>
  <c r="L219" i="10"/>
  <c r="M218" i="10"/>
  <c r="L218" i="10"/>
  <c r="M217" i="10"/>
  <c r="L217" i="10"/>
  <c r="M216" i="10"/>
  <c r="L216" i="10"/>
  <c r="M215" i="10"/>
  <c r="L215" i="10"/>
  <c r="M214" i="10"/>
  <c r="L214" i="10"/>
  <c r="M213" i="10"/>
  <c r="L213" i="10"/>
  <c r="M212" i="10"/>
  <c r="L212" i="10"/>
  <c r="M209" i="10"/>
  <c r="L209" i="10"/>
  <c r="M208" i="10"/>
  <c r="L208" i="10"/>
  <c r="M207" i="10"/>
  <c r="L207" i="10"/>
  <c r="M206" i="10"/>
  <c r="L206" i="10"/>
  <c r="M205" i="10"/>
  <c r="L205" i="10"/>
  <c r="M204" i="10"/>
  <c r="L204" i="10"/>
  <c r="M203" i="10"/>
  <c r="L203" i="10"/>
  <c r="M202" i="10"/>
  <c r="L202" i="10"/>
  <c r="M201" i="10"/>
  <c r="L201" i="10"/>
  <c r="M200" i="10"/>
  <c r="L200" i="10"/>
  <c r="M199" i="10"/>
  <c r="L199" i="10"/>
  <c r="M198" i="10"/>
  <c r="L198" i="10"/>
  <c r="M197" i="10"/>
  <c r="L197" i="10"/>
  <c r="M196" i="10"/>
  <c r="L196" i="10"/>
  <c r="M195" i="10"/>
  <c r="L195" i="10"/>
  <c r="M194" i="10"/>
  <c r="L194" i="10"/>
  <c r="M193" i="10"/>
  <c r="L193" i="10"/>
  <c r="M192" i="10"/>
  <c r="L192" i="10"/>
  <c r="M191" i="10"/>
  <c r="L191" i="10"/>
  <c r="M190" i="10"/>
  <c r="L190" i="10"/>
  <c r="M189" i="10"/>
  <c r="L189" i="10"/>
  <c r="M188" i="10"/>
  <c r="L188" i="10"/>
  <c r="M187" i="10"/>
  <c r="L187" i="10"/>
  <c r="M186" i="10"/>
  <c r="L186" i="10"/>
  <c r="M185" i="10"/>
  <c r="L185" i="10"/>
  <c r="M184" i="10"/>
  <c r="L184" i="10"/>
  <c r="M183" i="10"/>
  <c r="L183" i="10"/>
  <c r="M182" i="10"/>
  <c r="L182" i="10"/>
  <c r="M181" i="10"/>
  <c r="L181" i="10"/>
  <c r="M180" i="10"/>
  <c r="L180" i="10"/>
  <c r="M179" i="10"/>
  <c r="L179" i="10"/>
  <c r="M178" i="10"/>
  <c r="L178" i="10"/>
  <c r="M177" i="10"/>
  <c r="L177" i="10"/>
  <c r="M176" i="10"/>
  <c r="L176" i="10"/>
  <c r="M175" i="10"/>
  <c r="L175" i="10"/>
  <c r="M174" i="10"/>
  <c r="L174" i="10"/>
  <c r="M173" i="10"/>
  <c r="L173" i="10"/>
  <c r="M172" i="10"/>
  <c r="L172" i="10"/>
  <c r="M171" i="10"/>
  <c r="L171" i="10"/>
  <c r="M170" i="10"/>
  <c r="L170" i="10"/>
  <c r="M169" i="10"/>
  <c r="L169" i="10"/>
  <c r="M168" i="10"/>
  <c r="L168" i="10"/>
  <c r="M167" i="10"/>
  <c r="L167" i="10"/>
  <c r="M166" i="10"/>
  <c r="L166" i="10"/>
  <c r="M165" i="10"/>
  <c r="L165" i="10"/>
  <c r="M164" i="10"/>
  <c r="L164" i="10"/>
  <c r="M163" i="10"/>
  <c r="L163" i="10"/>
  <c r="M162" i="10"/>
  <c r="L162" i="10"/>
  <c r="M161" i="10"/>
  <c r="L161" i="10"/>
  <c r="M160" i="10"/>
  <c r="L160" i="10"/>
  <c r="M159" i="10"/>
  <c r="L159" i="10"/>
  <c r="M158" i="10"/>
  <c r="L158" i="10"/>
  <c r="M157" i="10"/>
  <c r="L157" i="10"/>
  <c r="M156" i="10"/>
  <c r="L156" i="10"/>
  <c r="M155" i="10"/>
  <c r="L155" i="10"/>
  <c r="M154" i="10"/>
  <c r="L154" i="10"/>
  <c r="M153" i="10"/>
  <c r="L153" i="10"/>
  <c r="M152" i="10"/>
  <c r="L152" i="10"/>
  <c r="M151" i="10"/>
  <c r="L151" i="10"/>
  <c r="M150" i="10"/>
  <c r="L150" i="10"/>
  <c r="M149" i="10"/>
  <c r="L149" i="10"/>
  <c r="M148" i="10"/>
  <c r="L148" i="10"/>
  <c r="M147" i="10"/>
  <c r="L147" i="10"/>
  <c r="M146" i="10"/>
  <c r="L146" i="10"/>
  <c r="M145" i="10"/>
  <c r="L145" i="10"/>
  <c r="M144" i="10"/>
  <c r="L144" i="10"/>
  <c r="M143" i="10"/>
  <c r="L143" i="10"/>
  <c r="M142" i="10"/>
  <c r="L142" i="10"/>
  <c r="M141" i="10"/>
  <c r="L141" i="10"/>
  <c r="M140" i="10"/>
  <c r="L140" i="10"/>
  <c r="M139" i="10"/>
  <c r="L139" i="10"/>
  <c r="M138" i="10"/>
  <c r="L138" i="10"/>
  <c r="M137" i="10"/>
  <c r="L137" i="10"/>
  <c r="M136" i="10"/>
  <c r="L136" i="10"/>
  <c r="M135" i="10"/>
  <c r="L135" i="10"/>
  <c r="M134" i="10"/>
  <c r="L134" i="10"/>
  <c r="M133" i="10"/>
  <c r="L133" i="10"/>
  <c r="M132" i="10"/>
  <c r="L132" i="10"/>
  <c r="M131" i="10"/>
  <c r="L131" i="10"/>
  <c r="M130" i="10"/>
  <c r="L130" i="10"/>
  <c r="M129" i="10"/>
  <c r="L129" i="10"/>
  <c r="M128" i="10"/>
  <c r="L128" i="10"/>
  <c r="M127" i="10"/>
  <c r="L127" i="10"/>
  <c r="M126" i="10"/>
  <c r="L126" i="10"/>
  <c r="M125" i="10"/>
  <c r="L125" i="10"/>
  <c r="M124" i="10"/>
  <c r="L124" i="10"/>
  <c r="M123" i="10"/>
  <c r="L123" i="10"/>
  <c r="M122" i="10"/>
  <c r="L122" i="10"/>
  <c r="M121" i="10"/>
  <c r="L121" i="10"/>
  <c r="M120" i="10"/>
  <c r="L120" i="10"/>
  <c r="M119" i="10"/>
  <c r="L119" i="10"/>
  <c r="M118" i="10"/>
  <c r="L118" i="10"/>
  <c r="M117" i="10"/>
  <c r="L117" i="10"/>
  <c r="M116" i="10"/>
  <c r="L116" i="10"/>
  <c r="M115" i="10"/>
  <c r="L115" i="10"/>
  <c r="M114" i="10"/>
  <c r="L114" i="10"/>
  <c r="M113" i="10"/>
  <c r="L113" i="10"/>
  <c r="M112" i="10"/>
  <c r="L112" i="10"/>
  <c r="M111" i="10"/>
  <c r="L111" i="10"/>
  <c r="M110" i="10"/>
  <c r="L110" i="10"/>
  <c r="M109" i="10"/>
  <c r="L109" i="10"/>
  <c r="M108" i="10"/>
  <c r="L108" i="10"/>
  <c r="M107" i="10"/>
  <c r="L107" i="10"/>
  <c r="M106" i="10"/>
  <c r="L106" i="10"/>
  <c r="M105" i="10"/>
  <c r="L105" i="10"/>
  <c r="M104" i="10"/>
  <c r="L104" i="10"/>
  <c r="M103" i="10"/>
  <c r="L103" i="10"/>
  <c r="M102" i="10"/>
  <c r="L102" i="10"/>
  <c r="M101" i="10"/>
  <c r="L101" i="10"/>
  <c r="M100" i="10"/>
  <c r="L100" i="10"/>
  <c r="M99" i="10"/>
  <c r="L99" i="10"/>
  <c r="M98" i="10"/>
  <c r="L98" i="10"/>
  <c r="M97" i="10"/>
  <c r="L97" i="10"/>
  <c r="M96" i="10"/>
  <c r="L96" i="10"/>
  <c r="M95" i="10"/>
  <c r="L95" i="10"/>
  <c r="M94" i="10"/>
  <c r="L94" i="10"/>
  <c r="M93" i="10"/>
  <c r="L93" i="10"/>
  <c r="M92" i="10"/>
  <c r="L92" i="10"/>
  <c r="M91" i="10"/>
  <c r="L91" i="10"/>
  <c r="M90" i="10"/>
  <c r="L90" i="10"/>
  <c r="M89" i="10"/>
  <c r="L89" i="10"/>
  <c r="M88" i="10"/>
  <c r="L88" i="10"/>
  <c r="M87" i="10"/>
  <c r="L87" i="10"/>
  <c r="M86" i="10"/>
  <c r="L86" i="10"/>
  <c r="M85" i="10"/>
  <c r="L85" i="10"/>
  <c r="M84" i="10"/>
  <c r="L84" i="10"/>
  <c r="M83" i="10"/>
  <c r="L83" i="10"/>
  <c r="M82" i="10"/>
  <c r="L82" i="10"/>
  <c r="M81" i="10"/>
  <c r="L81" i="10"/>
  <c r="M80" i="10"/>
  <c r="L80" i="10"/>
  <c r="M79" i="10"/>
  <c r="L79" i="10"/>
  <c r="M78" i="10"/>
  <c r="L78" i="10"/>
  <c r="M77" i="10"/>
  <c r="L77" i="10"/>
  <c r="M76" i="10"/>
  <c r="L76" i="10"/>
  <c r="M75" i="10"/>
  <c r="L75" i="10"/>
  <c r="M74" i="10"/>
  <c r="L74" i="10"/>
  <c r="M73" i="10"/>
  <c r="L73" i="10"/>
  <c r="M72" i="10"/>
  <c r="L72" i="10"/>
  <c r="M71" i="10"/>
  <c r="L71" i="10"/>
  <c r="M70" i="10"/>
  <c r="L70" i="10"/>
  <c r="M69" i="10"/>
  <c r="L69" i="10"/>
  <c r="M68" i="10"/>
  <c r="L68" i="10"/>
  <c r="M67" i="10"/>
  <c r="L67" i="10"/>
  <c r="M66" i="10"/>
  <c r="L66" i="10"/>
  <c r="M65" i="10"/>
  <c r="L65" i="10"/>
  <c r="M64" i="10"/>
  <c r="L64" i="10"/>
  <c r="M63" i="10"/>
  <c r="L63" i="10"/>
  <c r="M62" i="10"/>
  <c r="L62" i="10"/>
  <c r="M61" i="10"/>
  <c r="L61" i="10"/>
  <c r="M60" i="10"/>
  <c r="L60" i="10"/>
  <c r="M59" i="10"/>
  <c r="L59" i="10"/>
  <c r="M58" i="10"/>
  <c r="L58" i="10"/>
  <c r="M57" i="10"/>
  <c r="L57" i="10"/>
  <c r="M56" i="10"/>
  <c r="L56" i="10"/>
  <c r="M55" i="10"/>
  <c r="L55" i="10"/>
  <c r="M54" i="10"/>
  <c r="L54" i="10"/>
  <c r="M53" i="10"/>
  <c r="L53" i="10"/>
  <c r="M52" i="10"/>
  <c r="L52" i="10"/>
  <c r="M51" i="10"/>
  <c r="L51" i="10"/>
  <c r="M50" i="10"/>
  <c r="L50" i="10"/>
  <c r="M49" i="10"/>
  <c r="L49" i="10"/>
  <c r="M48" i="10"/>
  <c r="L48" i="10"/>
  <c r="M47" i="10"/>
  <c r="L47" i="10"/>
  <c r="M46" i="10"/>
  <c r="L46" i="10"/>
  <c r="M45" i="10"/>
  <c r="L45" i="10"/>
  <c r="M44" i="10"/>
  <c r="L44" i="10"/>
  <c r="M43" i="10"/>
  <c r="L43" i="10"/>
  <c r="M42" i="10"/>
  <c r="L42" i="10"/>
  <c r="M41" i="10"/>
  <c r="L41" i="10"/>
  <c r="M40" i="10"/>
  <c r="L40" i="10"/>
  <c r="M39" i="10"/>
  <c r="L39" i="10"/>
  <c r="M38" i="10"/>
  <c r="L38" i="10"/>
  <c r="M37" i="10"/>
  <c r="L37" i="10"/>
  <c r="M36" i="10"/>
  <c r="L36" i="10"/>
  <c r="M35" i="10"/>
  <c r="L35" i="10"/>
  <c r="M34" i="10"/>
  <c r="L34" i="10"/>
  <c r="M33" i="10"/>
  <c r="L33" i="10"/>
  <c r="M32" i="10"/>
  <c r="L32" i="10"/>
  <c r="M31" i="10"/>
  <c r="L31" i="10"/>
  <c r="M30" i="10"/>
  <c r="L30" i="10"/>
  <c r="M29" i="10"/>
  <c r="L29" i="10"/>
  <c r="M28" i="10"/>
  <c r="L28" i="10"/>
  <c r="M27" i="10"/>
  <c r="L27" i="10"/>
  <c r="M26" i="10"/>
  <c r="L26" i="10"/>
  <c r="M25" i="10"/>
  <c r="L25" i="10"/>
  <c r="M24" i="10"/>
  <c r="L24" i="10"/>
  <c r="M23" i="10"/>
  <c r="L23" i="10"/>
  <c r="M22" i="10"/>
  <c r="L22" i="10"/>
  <c r="M21" i="10"/>
  <c r="L21" i="10"/>
  <c r="M20" i="10"/>
  <c r="L20" i="10"/>
  <c r="M19" i="10"/>
  <c r="L19" i="10"/>
  <c r="M18" i="10"/>
  <c r="L18" i="10"/>
  <c r="M17" i="10"/>
  <c r="L17" i="10"/>
  <c r="M16" i="10"/>
  <c r="L16" i="10"/>
  <c r="M15" i="10"/>
  <c r="L15" i="10"/>
  <c r="M14" i="10"/>
  <c r="L14" i="10"/>
  <c r="M13" i="10"/>
  <c r="L13" i="10"/>
  <c r="M12" i="10"/>
  <c r="L12" i="10"/>
  <c r="M11" i="10"/>
  <c r="L11" i="10"/>
  <c r="M10" i="10"/>
  <c r="L10" i="10"/>
  <c r="M9" i="10"/>
  <c r="L9" i="10"/>
  <c r="M8" i="10"/>
  <c r="L8" i="10"/>
  <c r="M7" i="10"/>
  <c r="L7" i="10"/>
  <c r="M6" i="10"/>
  <c r="L6" i="10"/>
  <c r="M5" i="10"/>
  <c r="L5" i="10"/>
  <c r="M4" i="10"/>
  <c r="L4" i="10"/>
  <c r="M3" i="10"/>
  <c r="L3" i="10"/>
  <c r="M2" i="10"/>
  <c r="L2" i="10"/>
  <c r="K389" i="10"/>
  <c r="G389" i="10" s="1"/>
  <c r="K388" i="10"/>
  <c r="G388" i="10" s="1"/>
  <c r="K387" i="10"/>
  <c r="G387" i="10" s="1"/>
  <c r="K386" i="10"/>
  <c r="G386" i="10" s="1"/>
  <c r="K385" i="10"/>
  <c r="G385" i="10" s="1"/>
  <c r="K384" i="10"/>
  <c r="G384" i="10" s="1"/>
  <c r="K383" i="10"/>
  <c r="G383" i="10" s="1"/>
  <c r="K382" i="10"/>
  <c r="G382" i="10" s="1"/>
  <c r="K381" i="10"/>
  <c r="G381" i="10" s="1"/>
  <c r="K380" i="10"/>
  <c r="G380" i="10" s="1"/>
  <c r="K379" i="10"/>
  <c r="G379" i="10" s="1"/>
  <c r="K378" i="10"/>
  <c r="G378" i="10" s="1"/>
  <c r="K377" i="10"/>
  <c r="G377" i="10" s="1"/>
  <c r="K376" i="10"/>
  <c r="G376" i="10" s="1"/>
  <c r="K375" i="10"/>
  <c r="G375" i="10" s="1"/>
  <c r="K374" i="10"/>
  <c r="G374" i="10" s="1"/>
  <c r="K373" i="10"/>
  <c r="G373" i="10" s="1"/>
  <c r="K372" i="10"/>
  <c r="G372" i="10" s="1"/>
  <c r="K371" i="10"/>
  <c r="G371" i="10" s="1"/>
  <c r="K370" i="10"/>
  <c r="G370" i="10" s="1"/>
  <c r="K369" i="10"/>
  <c r="G369" i="10" s="1"/>
  <c r="K368" i="10"/>
  <c r="G368" i="10" s="1"/>
  <c r="K367" i="10"/>
  <c r="G367" i="10" s="1"/>
  <c r="K366" i="10"/>
  <c r="G366" i="10" s="1"/>
  <c r="K365" i="10"/>
  <c r="G365" i="10" s="1"/>
  <c r="K364" i="10"/>
  <c r="G364" i="10" s="1"/>
  <c r="K363" i="10"/>
  <c r="G363" i="10" s="1"/>
  <c r="K362" i="10"/>
  <c r="G362" i="10" s="1"/>
  <c r="K361" i="10"/>
  <c r="G361" i="10" s="1"/>
  <c r="K360" i="10"/>
  <c r="G360" i="10" s="1"/>
  <c r="K359" i="10"/>
  <c r="G359" i="10" s="1"/>
  <c r="K358" i="10"/>
  <c r="G358" i="10" s="1"/>
  <c r="K357" i="10"/>
  <c r="G357" i="10" s="1"/>
  <c r="K356" i="10"/>
  <c r="G356" i="10" s="1"/>
  <c r="K355" i="10"/>
  <c r="G355" i="10" s="1"/>
  <c r="K354" i="10"/>
  <c r="G354" i="10" s="1"/>
  <c r="K353" i="10"/>
  <c r="G353" i="10" s="1"/>
  <c r="K352" i="10"/>
  <c r="G352" i="10" s="1"/>
  <c r="K351" i="10"/>
  <c r="G351" i="10" s="1"/>
  <c r="K350" i="10"/>
  <c r="G350" i="10" s="1"/>
  <c r="K349" i="10"/>
  <c r="G349" i="10" s="1"/>
  <c r="K348" i="10"/>
  <c r="G348" i="10" s="1"/>
  <c r="K347" i="10"/>
  <c r="G347" i="10" s="1"/>
  <c r="K346" i="10"/>
  <c r="G346" i="10" s="1"/>
  <c r="K345" i="10"/>
  <c r="G345" i="10" s="1"/>
  <c r="K344" i="10"/>
  <c r="G344" i="10" s="1"/>
  <c r="K343" i="10"/>
  <c r="G343" i="10" s="1"/>
  <c r="K342" i="10"/>
  <c r="G342" i="10" s="1"/>
  <c r="K341" i="10"/>
  <c r="G341" i="10" s="1"/>
  <c r="K340" i="10"/>
  <c r="G340" i="10" s="1"/>
  <c r="K339" i="10"/>
  <c r="G339" i="10" s="1"/>
  <c r="K338" i="10"/>
  <c r="G338" i="10" s="1"/>
  <c r="K337" i="10"/>
  <c r="G337" i="10" s="1"/>
  <c r="K336" i="10"/>
  <c r="G336" i="10" s="1"/>
  <c r="K335" i="10"/>
  <c r="G335" i="10" s="1"/>
  <c r="K334" i="10"/>
  <c r="G334" i="10" s="1"/>
  <c r="K333" i="10"/>
  <c r="G333" i="10" s="1"/>
  <c r="K332" i="10"/>
  <c r="G332" i="10" s="1"/>
  <c r="K331" i="10"/>
  <c r="G331" i="10" s="1"/>
  <c r="K330" i="10"/>
  <c r="G330" i="10" s="1"/>
  <c r="K329" i="10"/>
  <c r="G329" i="10" s="1"/>
  <c r="K328" i="10"/>
  <c r="G328" i="10" s="1"/>
  <c r="K327" i="10"/>
  <c r="G327" i="10" s="1"/>
  <c r="K326" i="10"/>
  <c r="G326" i="10" s="1"/>
  <c r="K325" i="10"/>
  <c r="G325" i="10" s="1"/>
  <c r="K324" i="10"/>
  <c r="G324" i="10" s="1"/>
  <c r="K323" i="10"/>
  <c r="G323" i="10" s="1"/>
  <c r="K322" i="10"/>
  <c r="G322" i="10" s="1"/>
  <c r="K321" i="10"/>
  <c r="G321" i="10" s="1"/>
  <c r="K320" i="10"/>
  <c r="G320" i="10" s="1"/>
  <c r="K319" i="10"/>
  <c r="G319" i="10" s="1"/>
  <c r="K318" i="10"/>
  <c r="G318" i="10" s="1"/>
  <c r="K317" i="10"/>
  <c r="G317" i="10" s="1"/>
  <c r="K316" i="10"/>
  <c r="G316" i="10" s="1"/>
  <c r="K315" i="10"/>
  <c r="G315" i="10" s="1"/>
  <c r="K314" i="10"/>
  <c r="G314" i="10" s="1"/>
  <c r="K313" i="10"/>
  <c r="G313" i="10" s="1"/>
  <c r="K312" i="10"/>
  <c r="G312" i="10" s="1"/>
  <c r="K311" i="10"/>
  <c r="G311" i="10" s="1"/>
  <c r="K310" i="10"/>
  <c r="G310" i="10" s="1"/>
  <c r="K309" i="10"/>
  <c r="G309" i="10" s="1"/>
  <c r="K308" i="10"/>
  <c r="G308" i="10" s="1"/>
  <c r="K307" i="10"/>
  <c r="G307" i="10" s="1"/>
  <c r="K306" i="10"/>
  <c r="G306" i="10" s="1"/>
  <c r="K305" i="10"/>
  <c r="G305" i="10" s="1"/>
  <c r="K304" i="10"/>
  <c r="G304" i="10" s="1"/>
  <c r="K303" i="10"/>
  <c r="G303" i="10" s="1"/>
  <c r="K302" i="10"/>
  <c r="G302" i="10" s="1"/>
  <c r="K301" i="10"/>
  <c r="G301" i="10" s="1"/>
  <c r="K300" i="10"/>
  <c r="G300" i="10" s="1"/>
  <c r="K299" i="10"/>
  <c r="G299" i="10" s="1"/>
  <c r="K298" i="10"/>
  <c r="G298" i="10" s="1"/>
  <c r="K297" i="10"/>
  <c r="G297" i="10" s="1"/>
  <c r="K296" i="10"/>
  <c r="G296" i="10" s="1"/>
  <c r="K295" i="10"/>
  <c r="G295" i="10" s="1"/>
  <c r="K294" i="10"/>
  <c r="G294" i="10" s="1"/>
  <c r="K293" i="10"/>
  <c r="G293" i="10" s="1"/>
  <c r="K292" i="10"/>
  <c r="G292" i="10" s="1"/>
  <c r="K291" i="10"/>
  <c r="G291" i="10" s="1"/>
  <c r="K290" i="10"/>
  <c r="G290" i="10" s="1"/>
  <c r="K289" i="10"/>
  <c r="G289" i="10" s="1"/>
  <c r="K288" i="10"/>
  <c r="G288" i="10" s="1"/>
  <c r="K287" i="10"/>
  <c r="G287" i="10" s="1"/>
  <c r="K286" i="10"/>
  <c r="G286" i="10" s="1"/>
  <c r="K285" i="10"/>
  <c r="G285" i="10" s="1"/>
  <c r="K284" i="10"/>
  <c r="G284" i="10" s="1"/>
  <c r="K283" i="10"/>
  <c r="G283" i="10" s="1"/>
  <c r="K282" i="10"/>
  <c r="G282" i="10" s="1"/>
  <c r="K281" i="10"/>
  <c r="G281" i="10" s="1"/>
  <c r="K280" i="10"/>
  <c r="G280" i="10" s="1"/>
  <c r="K279" i="10"/>
  <c r="G279" i="10" s="1"/>
  <c r="K278" i="10"/>
  <c r="G278" i="10" s="1"/>
  <c r="K277" i="10"/>
  <c r="G277" i="10" s="1"/>
  <c r="K276" i="10"/>
  <c r="G276" i="10" s="1"/>
  <c r="K275" i="10"/>
  <c r="G275" i="10" s="1"/>
  <c r="K274" i="10"/>
  <c r="G274" i="10" s="1"/>
  <c r="K273" i="10"/>
  <c r="G273" i="10" s="1"/>
  <c r="K272" i="10"/>
  <c r="G272" i="10" s="1"/>
  <c r="K271" i="10"/>
  <c r="G271" i="10" s="1"/>
  <c r="K270" i="10"/>
  <c r="G270" i="10" s="1"/>
  <c r="K269" i="10"/>
  <c r="G269" i="10" s="1"/>
  <c r="K268" i="10"/>
  <c r="G268" i="10" s="1"/>
  <c r="K267" i="10"/>
  <c r="G267" i="10" s="1"/>
  <c r="K266" i="10"/>
  <c r="G266" i="10" s="1"/>
  <c r="K265" i="10"/>
  <c r="G265" i="10" s="1"/>
  <c r="K264" i="10"/>
  <c r="G264" i="10" s="1"/>
  <c r="K263" i="10"/>
  <c r="G263" i="10" s="1"/>
  <c r="K262" i="10"/>
  <c r="G262" i="10" s="1"/>
  <c r="K261" i="10"/>
  <c r="G261" i="10" s="1"/>
  <c r="K260" i="10"/>
  <c r="G260" i="10" s="1"/>
  <c r="K259" i="10"/>
  <c r="G259" i="10" s="1"/>
  <c r="K258" i="10"/>
  <c r="G258" i="10" s="1"/>
  <c r="K257" i="10"/>
  <c r="G257" i="10" s="1"/>
  <c r="K256" i="10"/>
  <c r="G256" i="10" s="1"/>
  <c r="K255" i="10"/>
  <c r="G255" i="10" s="1"/>
  <c r="K254" i="10"/>
  <c r="G254" i="10" s="1"/>
  <c r="K253" i="10"/>
  <c r="G253" i="10" s="1"/>
  <c r="K252" i="10"/>
  <c r="G252" i="10" s="1"/>
  <c r="K251" i="10"/>
  <c r="G251" i="10" s="1"/>
  <c r="K250" i="10"/>
  <c r="G250" i="10" s="1"/>
  <c r="K249" i="10"/>
  <c r="G249" i="10" s="1"/>
  <c r="K248" i="10"/>
  <c r="G248" i="10" s="1"/>
  <c r="K247" i="10"/>
  <c r="G247" i="10" s="1"/>
  <c r="K246" i="10"/>
  <c r="G246" i="10" s="1"/>
  <c r="K245" i="10"/>
  <c r="G245" i="10" s="1"/>
  <c r="K244" i="10"/>
  <c r="G244" i="10" s="1"/>
  <c r="K243" i="10"/>
  <c r="G243" i="10" s="1"/>
  <c r="K242" i="10"/>
  <c r="G242" i="10" s="1"/>
  <c r="K241" i="10"/>
  <c r="G241" i="10" s="1"/>
  <c r="K240" i="10"/>
  <c r="G240" i="10" s="1"/>
  <c r="K239" i="10"/>
  <c r="G239" i="10" s="1"/>
  <c r="K238" i="10"/>
  <c r="G238" i="10" s="1"/>
  <c r="K237" i="10"/>
  <c r="G237" i="10" s="1"/>
  <c r="K236" i="10"/>
  <c r="G236" i="10" s="1"/>
  <c r="K235" i="10"/>
  <c r="G235" i="10" s="1"/>
  <c r="K234" i="10"/>
  <c r="G234" i="10" s="1"/>
  <c r="K233" i="10"/>
  <c r="G233" i="10" s="1"/>
  <c r="K232" i="10"/>
  <c r="G232" i="10" s="1"/>
  <c r="K231" i="10"/>
  <c r="G231" i="10" s="1"/>
  <c r="K230" i="10"/>
  <c r="G230" i="10" s="1"/>
  <c r="K229" i="10"/>
  <c r="G229" i="10" s="1"/>
  <c r="K228" i="10"/>
  <c r="G228" i="10" s="1"/>
  <c r="K227" i="10"/>
  <c r="G227" i="10" s="1"/>
  <c r="K226" i="10"/>
  <c r="G226" i="10" s="1"/>
  <c r="K225" i="10"/>
  <c r="G225" i="10" s="1"/>
  <c r="K224" i="10"/>
  <c r="G224" i="10" s="1"/>
  <c r="K223" i="10"/>
  <c r="G223" i="10" s="1"/>
  <c r="K222" i="10"/>
  <c r="G222" i="10" s="1"/>
  <c r="K221" i="10"/>
  <c r="G221" i="10" s="1"/>
  <c r="K220" i="10"/>
  <c r="G220" i="10" s="1"/>
  <c r="K219" i="10"/>
  <c r="G219" i="10" s="1"/>
  <c r="K218" i="10"/>
  <c r="G218" i="10" s="1"/>
  <c r="K217" i="10"/>
  <c r="G217" i="10" s="1"/>
  <c r="K216" i="10"/>
  <c r="G216" i="10" s="1"/>
  <c r="K215" i="10"/>
  <c r="G215" i="10" s="1"/>
  <c r="K214" i="10"/>
  <c r="G214" i="10" s="1"/>
  <c r="K213" i="10"/>
  <c r="G213" i="10" s="1"/>
  <c r="K212" i="10"/>
  <c r="G212" i="10" s="1"/>
  <c r="K209" i="10"/>
  <c r="G209" i="10" s="1"/>
  <c r="K208" i="10"/>
  <c r="G208" i="10" s="1"/>
  <c r="K207" i="10"/>
  <c r="G207" i="10" s="1"/>
  <c r="K206" i="10"/>
  <c r="G206" i="10" s="1"/>
  <c r="K205" i="10"/>
  <c r="G205" i="10" s="1"/>
  <c r="K204" i="10"/>
  <c r="G204" i="10" s="1"/>
  <c r="K203" i="10"/>
  <c r="G203" i="10" s="1"/>
  <c r="K202" i="10"/>
  <c r="G202" i="10" s="1"/>
  <c r="K201" i="10"/>
  <c r="G201" i="10" s="1"/>
  <c r="K200" i="10"/>
  <c r="G200" i="10" s="1"/>
  <c r="K199" i="10"/>
  <c r="G199" i="10" s="1"/>
  <c r="K198" i="10"/>
  <c r="G198" i="10" s="1"/>
  <c r="K197" i="10"/>
  <c r="G197" i="10" s="1"/>
  <c r="K196" i="10"/>
  <c r="G196" i="10" s="1"/>
  <c r="K195" i="10"/>
  <c r="G195" i="10" s="1"/>
  <c r="K194" i="10"/>
  <c r="G194" i="10" s="1"/>
  <c r="K193" i="10"/>
  <c r="G193" i="10" s="1"/>
  <c r="K192" i="10"/>
  <c r="G192" i="10" s="1"/>
  <c r="K191" i="10"/>
  <c r="G191" i="10" s="1"/>
  <c r="K190" i="10"/>
  <c r="G190" i="10" s="1"/>
  <c r="K189" i="10"/>
  <c r="G189" i="10" s="1"/>
  <c r="K188" i="10"/>
  <c r="G188" i="10" s="1"/>
  <c r="K187" i="10"/>
  <c r="G187" i="10" s="1"/>
  <c r="K186" i="10"/>
  <c r="G186" i="10" s="1"/>
  <c r="K185" i="10"/>
  <c r="G185" i="10" s="1"/>
  <c r="K184" i="10"/>
  <c r="G184" i="10" s="1"/>
  <c r="K183" i="10"/>
  <c r="G183" i="10" s="1"/>
  <c r="K182" i="10"/>
  <c r="G182" i="10" s="1"/>
  <c r="K181" i="10"/>
  <c r="G181" i="10" s="1"/>
  <c r="K180" i="10"/>
  <c r="G180" i="10" s="1"/>
  <c r="K179" i="10"/>
  <c r="G179" i="10" s="1"/>
  <c r="K178" i="10"/>
  <c r="G178" i="10" s="1"/>
  <c r="K177" i="10"/>
  <c r="G177" i="10" s="1"/>
  <c r="K176" i="10"/>
  <c r="G176" i="10" s="1"/>
  <c r="K175" i="10"/>
  <c r="G175" i="10" s="1"/>
  <c r="K174" i="10"/>
  <c r="G174" i="10" s="1"/>
  <c r="K173" i="10"/>
  <c r="G173" i="10" s="1"/>
  <c r="K172" i="10"/>
  <c r="G172" i="10" s="1"/>
  <c r="K171" i="10"/>
  <c r="G171" i="10" s="1"/>
  <c r="K170" i="10"/>
  <c r="G170" i="10" s="1"/>
  <c r="K169" i="10"/>
  <c r="G169" i="10" s="1"/>
  <c r="K168" i="10"/>
  <c r="G168" i="10" s="1"/>
  <c r="K167" i="10"/>
  <c r="G167" i="10" s="1"/>
  <c r="K166" i="10"/>
  <c r="G166" i="10" s="1"/>
  <c r="K165" i="10"/>
  <c r="G165" i="10" s="1"/>
  <c r="K164" i="10"/>
  <c r="G164" i="10" s="1"/>
  <c r="K163" i="10"/>
  <c r="G163" i="10" s="1"/>
  <c r="K162" i="10"/>
  <c r="G162" i="10" s="1"/>
  <c r="K161" i="10"/>
  <c r="G161" i="10" s="1"/>
  <c r="K160" i="10"/>
  <c r="G160" i="10" s="1"/>
  <c r="K159" i="10"/>
  <c r="G159" i="10" s="1"/>
  <c r="K158" i="10"/>
  <c r="G158" i="10" s="1"/>
  <c r="K157" i="10"/>
  <c r="G157" i="10" s="1"/>
  <c r="K156" i="10"/>
  <c r="G156" i="10" s="1"/>
  <c r="K155" i="10"/>
  <c r="G155" i="10" s="1"/>
  <c r="K154" i="10"/>
  <c r="G154" i="10" s="1"/>
  <c r="K153" i="10"/>
  <c r="G153" i="10" s="1"/>
  <c r="K152" i="10"/>
  <c r="G152" i="10" s="1"/>
  <c r="K151" i="10"/>
  <c r="G151" i="10" s="1"/>
  <c r="K150" i="10"/>
  <c r="G150" i="10" s="1"/>
  <c r="K149" i="10"/>
  <c r="G149" i="10" s="1"/>
  <c r="K148" i="10"/>
  <c r="G148" i="10" s="1"/>
  <c r="K147" i="10"/>
  <c r="G147" i="10" s="1"/>
  <c r="K146" i="10"/>
  <c r="G146" i="10" s="1"/>
  <c r="K145" i="10"/>
  <c r="G145" i="10" s="1"/>
  <c r="K144" i="10"/>
  <c r="G144" i="10" s="1"/>
  <c r="K143" i="10"/>
  <c r="G143" i="10" s="1"/>
  <c r="K142" i="10"/>
  <c r="G142" i="10" s="1"/>
  <c r="K141" i="10"/>
  <c r="G141" i="10" s="1"/>
  <c r="K140" i="10"/>
  <c r="G140" i="10" s="1"/>
  <c r="K139" i="10"/>
  <c r="G139" i="10" s="1"/>
  <c r="K138" i="10"/>
  <c r="G138" i="10" s="1"/>
  <c r="K137" i="10"/>
  <c r="G137" i="10" s="1"/>
  <c r="K136" i="10"/>
  <c r="G136" i="10" s="1"/>
  <c r="K135" i="10"/>
  <c r="G135" i="10" s="1"/>
  <c r="K134" i="10"/>
  <c r="G134" i="10" s="1"/>
  <c r="K133" i="10"/>
  <c r="G133" i="10" s="1"/>
  <c r="K132" i="10"/>
  <c r="G132" i="10" s="1"/>
  <c r="K131" i="10"/>
  <c r="G131" i="10" s="1"/>
  <c r="K130" i="10"/>
  <c r="G130" i="10" s="1"/>
  <c r="K129" i="10"/>
  <c r="G129" i="10" s="1"/>
  <c r="K128" i="10"/>
  <c r="G128" i="10" s="1"/>
  <c r="K127" i="10"/>
  <c r="G127" i="10" s="1"/>
  <c r="K126" i="10"/>
  <c r="G126" i="10" s="1"/>
  <c r="K125" i="10"/>
  <c r="G125" i="10" s="1"/>
  <c r="K124" i="10"/>
  <c r="G124" i="10" s="1"/>
  <c r="K123" i="10"/>
  <c r="G123" i="10" s="1"/>
  <c r="K122" i="10"/>
  <c r="G122" i="10" s="1"/>
  <c r="K121" i="10"/>
  <c r="G121" i="10" s="1"/>
  <c r="K120" i="10"/>
  <c r="G120" i="10" s="1"/>
  <c r="K119" i="10"/>
  <c r="G119" i="10" s="1"/>
  <c r="K118" i="10"/>
  <c r="G118" i="10" s="1"/>
  <c r="K117" i="10"/>
  <c r="G117" i="10" s="1"/>
  <c r="K116" i="10"/>
  <c r="G116" i="10" s="1"/>
  <c r="K115" i="10"/>
  <c r="G115" i="10" s="1"/>
  <c r="K114" i="10"/>
  <c r="G114" i="10" s="1"/>
  <c r="K113" i="10"/>
  <c r="G113" i="10" s="1"/>
  <c r="K112" i="10"/>
  <c r="G112" i="10" s="1"/>
  <c r="K111" i="10"/>
  <c r="G111" i="10" s="1"/>
  <c r="K110" i="10"/>
  <c r="G110" i="10" s="1"/>
  <c r="K109" i="10"/>
  <c r="G109" i="10" s="1"/>
  <c r="K108" i="10"/>
  <c r="G108" i="10" s="1"/>
  <c r="K107" i="10"/>
  <c r="G107" i="10" s="1"/>
  <c r="K106" i="10"/>
  <c r="G106" i="10" s="1"/>
  <c r="K105" i="10"/>
  <c r="G105" i="10" s="1"/>
  <c r="K104" i="10"/>
  <c r="G104" i="10" s="1"/>
  <c r="K103" i="10"/>
  <c r="G103" i="10" s="1"/>
  <c r="K102" i="10"/>
  <c r="G102" i="10" s="1"/>
  <c r="K101" i="10"/>
  <c r="G101" i="10" s="1"/>
  <c r="K100" i="10"/>
  <c r="G100" i="10" s="1"/>
  <c r="K99" i="10"/>
  <c r="G99" i="10" s="1"/>
  <c r="K98" i="10"/>
  <c r="G98" i="10" s="1"/>
  <c r="K97" i="10"/>
  <c r="G97" i="10" s="1"/>
  <c r="K96" i="10"/>
  <c r="G96" i="10" s="1"/>
  <c r="K95" i="10"/>
  <c r="G95" i="10" s="1"/>
  <c r="K94" i="10"/>
  <c r="G94" i="10" s="1"/>
  <c r="K93" i="10"/>
  <c r="G93" i="10" s="1"/>
  <c r="K92" i="10"/>
  <c r="G92" i="10" s="1"/>
  <c r="K91" i="10"/>
  <c r="G91" i="10" s="1"/>
  <c r="K90" i="10"/>
  <c r="G90" i="10" s="1"/>
  <c r="K89" i="10"/>
  <c r="G89" i="10" s="1"/>
  <c r="K88" i="10"/>
  <c r="G88" i="10" s="1"/>
  <c r="K87" i="10"/>
  <c r="G87" i="10" s="1"/>
  <c r="K86" i="10"/>
  <c r="G86" i="10" s="1"/>
  <c r="K85" i="10"/>
  <c r="G85" i="10" s="1"/>
  <c r="K84" i="10"/>
  <c r="G84" i="10" s="1"/>
  <c r="K83" i="10"/>
  <c r="G83" i="10" s="1"/>
  <c r="K82" i="10"/>
  <c r="G82" i="10" s="1"/>
  <c r="K81" i="10"/>
  <c r="G81" i="10" s="1"/>
  <c r="K80" i="10"/>
  <c r="G80" i="10" s="1"/>
  <c r="K79" i="10"/>
  <c r="G79" i="10" s="1"/>
  <c r="K78" i="10"/>
  <c r="G78" i="10" s="1"/>
  <c r="K77" i="10"/>
  <c r="G77" i="10" s="1"/>
  <c r="K76" i="10"/>
  <c r="G76" i="10" s="1"/>
  <c r="K75" i="10"/>
  <c r="G75" i="10" s="1"/>
  <c r="K74" i="10"/>
  <c r="G74" i="10" s="1"/>
  <c r="K73" i="10"/>
  <c r="G73" i="10" s="1"/>
  <c r="K72" i="10"/>
  <c r="G72" i="10" s="1"/>
  <c r="K71" i="10"/>
  <c r="G71" i="10" s="1"/>
  <c r="K70" i="10"/>
  <c r="G70" i="10" s="1"/>
  <c r="K69" i="10"/>
  <c r="G69" i="10" s="1"/>
  <c r="K68" i="10"/>
  <c r="G68" i="10" s="1"/>
  <c r="K67" i="10"/>
  <c r="G67" i="10" s="1"/>
  <c r="K66" i="10"/>
  <c r="G66" i="10" s="1"/>
  <c r="K65" i="10"/>
  <c r="G65" i="10" s="1"/>
  <c r="K64" i="10"/>
  <c r="G64" i="10" s="1"/>
  <c r="K63" i="10"/>
  <c r="G63" i="10" s="1"/>
  <c r="K62" i="10"/>
  <c r="G62" i="10" s="1"/>
  <c r="K61" i="10"/>
  <c r="G61" i="10" s="1"/>
  <c r="K60" i="10"/>
  <c r="G60" i="10" s="1"/>
  <c r="K59" i="10"/>
  <c r="G59" i="10" s="1"/>
  <c r="K58" i="10"/>
  <c r="G58" i="10" s="1"/>
  <c r="K57" i="10"/>
  <c r="G57" i="10" s="1"/>
  <c r="K56" i="10"/>
  <c r="G56" i="10" s="1"/>
  <c r="K55" i="10"/>
  <c r="G55" i="10" s="1"/>
  <c r="K54" i="10"/>
  <c r="G54" i="10" s="1"/>
  <c r="K53" i="10"/>
  <c r="G53" i="10" s="1"/>
  <c r="K52" i="10"/>
  <c r="G52" i="10" s="1"/>
  <c r="K51" i="10"/>
  <c r="G51" i="10" s="1"/>
  <c r="K50" i="10"/>
  <c r="G50" i="10" s="1"/>
  <c r="K49" i="10"/>
  <c r="G49" i="10" s="1"/>
  <c r="K48" i="10"/>
  <c r="G48" i="10" s="1"/>
  <c r="K47" i="10"/>
  <c r="G47" i="10" s="1"/>
  <c r="K46" i="10"/>
  <c r="G46" i="10" s="1"/>
  <c r="K45" i="10"/>
  <c r="G45" i="10" s="1"/>
  <c r="K44" i="10"/>
  <c r="G44" i="10" s="1"/>
  <c r="K43" i="10"/>
  <c r="G43" i="10" s="1"/>
  <c r="K42" i="10"/>
  <c r="G42" i="10" s="1"/>
  <c r="K41" i="10"/>
  <c r="G41" i="10" s="1"/>
  <c r="K40" i="10"/>
  <c r="G40" i="10" s="1"/>
  <c r="K39" i="10"/>
  <c r="G39" i="10" s="1"/>
  <c r="K38" i="10"/>
  <c r="G38" i="10" s="1"/>
  <c r="K37" i="10"/>
  <c r="G37" i="10" s="1"/>
  <c r="K36" i="10"/>
  <c r="G36" i="10" s="1"/>
  <c r="K35" i="10"/>
  <c r="G35" i="10" s="1"/>
  <c r="K34" i="10"/>
  <c r="G34" i="10" s="1"/>
  <c r="K33" i="10"/>
  <c r="G33" i="10" s="1"/>
  <c r="K32" i="10"/>
  <c r="G32" i="10" s="1"/>
  <c r="K31" i="10"/>
  <c r="G31" i="10" s="1"/>
  <c r="K30" i="10"/>
  <c r="G30" i="10" s="1"/>
  <c r="K29" i="10"/>
  <c r="G29" i="10" s="1"/>
  <c r="K28" i="10"/>
  <c r="G28" i="10" s="1"/>
  <c r="K27" i="10"/>
  <c r="G27" i="10" s="1"/>
  <c r="K26" i="10"/>
  <c r="G26" i="10" s="1"/>
  <c r="K25" i="10"/>
  <c r="G25" i="10" s="1"/>
  <c r="K24" i="10"/>
  <c r="G24" i="10" s="1"/>
  <c r="K23" i="10"/>
  <c r="G23" i="10" s="1"/>
  <c r="K22" i="10"/>
  <c r="G22" i="10" s="1"/>
  <c r="K21" i="10"/>
  <c r="G21" i="10" s="1"/>
  <c r="K20" i="10"/>
  <c r="G20" i="10" s="1"/>
  <c r="K19" i="10"/>
  <c r="G19" i="10" s="1"/>
  <c r="K18" i="10"/>
  <c r="G18" i="10" s="1"/>
  <c r="K17" i="10"/>
  <c r="G17" i="10" s="1"/>
  <c r="K16" i="10"/>
  <c r="G16" i="10" s="1"/>
  <c r="K15" i="10"/>
  <c r="G15" i="10" s="1"/>
  <c r="K14" i="10"/>
  <c r="G14" i="10" s="1"/>
  <c r="K13" i="10"/>
  <c r="G13" i="10" s="1"/>
  <c r="K12" i="10"/>
  <c r="G12" i="10" s="1"/>
  <c r="K11" i="10"/>
  <c r="G11" i="10" s="1"/>
  <c r="K10" i="10"/>
  <c r="G10" i="10" s="1"/>
  <c r="K9" i="10"/>
  <c r="G9" i="10" s="1"/>
  <c r="K8" i="10"/>
  <c r="G8" i="10" s="1"/>
  <c r="K7" i="10"/>
  <c r="G7" i="10" s="1"/>
  <c r="K6" i="10"/>
  <c r="G6" i="10" s="1"/>
  <c r="K5" i="10"/>
  <c r="G5" i="10" s="1"/>
  <c r="K4" i="10"/>
  <c r="G4" i="10" s="1"/>
  <c r="K3" i="10"/>
  <c r="G3" i="10" s="1"/>
  <c r="K2" i="10"/>
  <c r="G2" i="10" s="1"/>
  <c r="C76" i="1" l="1"/>
  <c r="K390" i="10"/>
  <c r="N3" i="10"/>
  <c r="N5" i="10"/>
  <c r="N7" i="10"/>
  <c r="N9" i="10"/>
  <c r="N11" i="10"/>
  <c r="N13" i="10"/>
  <c r="N15" i="10"/>
  <c r="N17" i="10"/>
  <c r="N19" i="10"/>
  <c r="N21" i="10"/>
  <c r="N23" i="10"/>
  <c r="N25" i="10"/>
  <c r="N27" i="10"/>
  <c r="N29" i="10"/>
  <c r="N31" i="10"/>
  <c r="N33" i="10"/>
  <c r="N35" i="10"/>
  <c r="N37" i="10"/>
  <c r="N39" i="10"/>
  <c r="N41" i="10"/>
  <c r="N43" i="10"/>
  <c r="N45" i="10"/>
  <c r="L390" i="10"/>
  <c r="E390" i="10" s="1"/>
  <c r="Z47" i="4" s="1"/>
  <c r="M390" i="10"/>
  <c r="F390" i="10" s="1"/>
  <c r="Z48" i="4" s="1"/>
  <c r="N47" i="10"/>
  <c r="N49" i="10"/>
  <c r="N51" i="10"/>
  <c r="N53" i="10"/>
  <c r="N55" i="10"/>
  <c r="N57" i="10"/>
  <c r="N59" i="10"/>
  <c r="N61" i="10"/>
  <c r="N63" i="10"/>
  <c r="N65" i="10"/>
  <c r="N67" i="10"/>
  <c r="N69" i="10"/>
  <c r="N71" i="10"/>
  <c r="N73" i="10"/>
  <c r="N75" i="10"/>
  <c r="N77" i="10"/>
  <c r="N79" i="10"/>
  <c r="N81" i="10"/>
  <c r="N83" i="10"/>
  <c r="N85" i="10"/>
  <c r="N87" i="10"/>
  <c r="N89" i="10"/>
  <c r="N91" i="10"/>
  <c r="N93" i="10"/>
  <c r="N95" i="10"/>
  <c r="N97" i="10"/>
  <c r="N99" i="10"/>
  <c r="N101" i="10"/>
  <c r="N103" i="10"/>
  <c r="N105" i="10"/>
  <c r="N107" i="10"/>
  <c r="N109" i="10"/>
  <c r="N111" i="10"/>
  <c r="N113" i="10"/>
  <c r="N115" i="10"/>
  <c r="N117" i="10"/>
  <c r="N119" i="10"/>
  <c r="N121" i="10"/>
  <c r="N123" i="10"/>
  <c r="N125" i="10"/>
  <c r="N127" i="10"/>
  <c r="N129" i="10"/>
  <c r="N131" i="10"/>
  <c r="N133" i="10"/>
  <c r="N135" i="10"/>
  <c r="N137" i="10"/>
  <c r="N139" i="10"/>
  <c r="N141" i="10"/>
  <c r="N143" i="10"/>
  <c r="N145" i="10"/>
  <c r="N147" i="10"/>
  <c r="N149" i="10"/>
  <c r="N151" i="10"/>
  <c r="N153" i="10"/>
  <c r="N155" i="10"/>
  <c r="N157" i="10"/>
  <c r="N159" i="10"/>
  <c r="N161" i="10"/>
  <c r="N163" i="10"/>
  <c r="N165" i="10"/>
  <c r="N167" i="10"/>
  <c r="N169" i="10"/>
  <c r="N171" i="10"/>
  <c r="N173" i="10"/>
  <c r="N175" i="10"/>
  <c r="N177" i="10"/>
  <c r="N179" i="10"/>
  <c r="N181" i="10"/>
  <c r="N183" i="10"/>
  <c r="N185" i="10"/>
  <c r="N187" i="10"/>
  <c r="N189" i="10"/>
  <c r="N191" i="10"/>
  <c r="N193" i="10"/>
  <c r="N195" i="10"/>
  <c r="N197" i="10"/>
  <c r="N199" i="10"/>
  <c r="N201" i="10"/>
  <c r="N203" i="10"/>
  <c r="N205" i="10"/>
  <c r="N207" i="10"/>
  <c r="N209" i="10"/>
  <c r="N212" i="10"/>
  <c r="N214" i="10"/>
  <c r="N216" i="10"/>
  <c r="N218" i="10"/>
  <c r="N220" i="10"/>
  <c r="N222" i="10"/>
  <c r="N224" i="10"/>
  <c r="N226" i="10"/>
  <c r="N228" i="10"/>
  <c r="N230" i="10"/>
  <c r="N232" i="10"/>
  <c r="N234" i="10"/>
  <c r="N236" i="10"/>
  <c r="N238" i="10"/>
  <c r="N240" i="10"/>
  <c r="N242" i="10"/>
  <c r="N244" i="10"/>
  <c r="N246" i="10"/>
  <c r="N248" i="10"/>
  <c r="N250" i="10"/>
  <c r="N252" i="10"/>
  <c r="N254" i="10"/>
  <c r="N256" i="10"/>
  <c r="N258" i="10"/>
  <c r="N260" i="10"/>
  <c r="N262" i="10"/>
  <c r="N264" i="10"/>
  <c r="N266" i="10"/>
  <c r="N268" i="10"/>
  <c r="N270" i="10"/>
  <c r="N272" i="10"/>
  <c r="N274" i="10"/>
  <c r="N276" i="10"/>
  <c r="N278" i="10"/>
  <c r="N280" i="10"/>
  <c r="N282" i="10"/>
  <c r="N284" i="10"/>
  <c r="N286" i="10"/>
  <c r="N287" i="10"/>
  <c r="N289" i="10"/>
  <c r="N291" i="10"/>
  <c r="N293" i="10"/>
  <c r="N294" i="10"/>
  <c r="N296" i="10"/>
  <c r="N298" i="10"/>
  <c r="N300" i="10"/>
  <c r="N302" i="10"/>
  <c r="N304" i="10"/>
  <c r="N306" i="10"/>
  <c r="N308" i="10"/>
  <c r="N310" i="10"/>
  <c r="N312" i="10"/>
  <c r="N314" i="10"/>
  <c r="N316" i="10"/>
  <c r="N318" i="10"/>
  <c r="N320" i="10"/>
  <c r="N322" i="10"/>
  <c r="N324" i="10"/>
  <c r="N326" i="10"/>
  <c r="N328" i="10"/>
  <c r="N330" i="10"/>
  <c r="N332" i="10"/>
  <c r="N334" i="10"/>
  <c r="N335" i="10"/>
  <c r="N337" i="10"/>
  <c r="N339" i="10"/>
  <c r="N341" i="10"/>
  <c r="N343" i="10"/>
  <c r="N345" i="10"/>
  <c r="N347" i="10"/>
  <c r="N349" i="10"/>
  <c r="N351" i="10"/>
  <c r="N353" i="10"/>
  <c r="N355" i="10"/>
  <c r="N357" i="10"/>
  <c r="N359" i="10"/>
  <c r="N361" i="10"/>
  <c r="N363" i="10"/>
  <c r="N365" i="10"/>
  <c r="N367" i="10"/>
  <c r="N369" i="10"/>
  <c r="N371" i="10"/>
  <c r="N373" i="10"/>
  <c r="N375" i="10"/>
  <c r="N377" i="10"/>
  <c r="N2" i="10"/>
  <c r="N4" i="10"/>
  <c r="N6" i="10"/>
  <c r="N8" i="10"/>
  <c r="N10" i="10"/>
  <c r="N12" i="10"/>
  <c r="N14" i="10"/>
  <c r="N16" i="10"/>
  <c r="N18" i="10"/>
  <c r="N20" i="10"/>
  <c r="N22" i="10"/>
  <c r="N24" i="10"/>
  <c r="N26" i="10"/>
  <c r="N28" i="10"/>
  <c r="N30" i="10"/>
  <c r="N32" i="10"/>
  <c r="N34" i="10"/>
  <c r="N36" i="10"/>
  <c r="N38" i="10"/>
  <c r="N40" i="10"/>
  <c r="N42" i="10"/>
  <c r="N44" i="10"/>
  <c r="N46" i="10"/>
  <c r="N48" i="10"/>
  <c r="N50" i="10"/>
  <c r="N52" i="10"/>
  <c r="N54" i="10"/>
  <c r="N56" i="10"/>
  <c r="N58" i="10"/>
  <c r="N60" i="10"/>
  <c r="N62" i="10"/>
  <c r="N64" i="10"/>
  <c r="N66" i="10"/>
  <c r="N68" i="10"/>
  <c r="N70" i="10"/>
  <c r="N72" i="10"/>
  <c r="N74" i="10"/>
  <c r="N76" i="10"/>
  <c r="N78" i="10"/>
  <c r="N80" i="10"/>
  <c r="N82" i="10"/>
  <c r="N84" i="10"/>
  <c r="N86" i="10"/>
  <c r="N88" i="10"/>
  <c r="N90" i="10"/>
  <c r="N92" i="10"/>
  <c r="N94" i="10"/>
  <c r="N96" i="10"/>
  <c r="N98" i="10"/>
  <c r="N100" i="10"/>
  <c r="N102" i="10"/>
  <c r="N104" i="10"/>
  <c r="N106" i="10"/>
  <c r="N108" i="10"/>
  <c r="N110" i="10"/>
  <c r="N112" i="10"/>
  <c r="N114" i="10"/>
  <c r="N116" i="10"/>
  <c r="N118" i="10"/>
  <c r="N120" i="10"/>
  <c r="N122" i="10"/>
  <c r="N124" i="10"/>
  <c r="N126" i="10"/>
  <c r="N128" i="10"/>
  <c r="N130" i="10"/>
  <c r="N132" i="10"/>
  <c r="N134" i="10"/>
  <c r="N136" i="10"/>
  <c r="N138" i="10"/>
  <c r="N140" i="10"/>
  <c r="N142" i="10"/>
  <c r="N144" i="10"/>
  <c r="N146" i="10"/>
  <c r="N148" i="10"/>
  <c r="N150" i="10"/>
  <c r="N152" i="10"/>
  <c r="N154" i="10"/>
  <c r="N156" i="10"/>
  <c r="N158" i="10"/>
  <c r="N160" i="10"/>
  <c r="N162" i="10"/>
  <c r="N164" i="10"/>
  <c r="N166" i="10"/>
  <c r="N168" i="10"/>
  <c r="N170" i="10"/>
  <c r="N172" i="10"/>
  <c r="N174" i="10"/>
  <c r="N176" i="10"/>
  <c r="N178" i="10"/>
  <c r="N180" i="10"/>
  <c r="N182" i="10"/>
  <c r="N184" i="10"/>
  <c r="N186" i="10"/>
  <c r="N188" i="10"/>
  <c r="N190" i="10"/>
  <c r="N192" i="10"/>
  <c r="N194" i="10"/>
  <c r="N196" i="10"/>
  <c r="N198" i="10"/>
  <c r="N200" i="10"/>
  <c r="N202" i="10"/>
  <c r="N204" i="10"/>
  <c r="N206" i="10"/>
  <c r="N208" i="10"/>
  <c r="N213" i="10"/>
  <c r="N215" i="10"/>
  <c r="N217" i="10"/>
  <c r="N219" i="10"/>
  <c r="N221" i="10"/>
  <c r="N379" i="10"/>
  <c r="N381" i="10"/>
  <c r="N383" i="10"/>
  <c r="N385" i="10"/>
  <c r="N387" i="10"/>
  <c r="N389" i="10"/>
  <c r="N223" i="10"/>
  <c r="N225" i="10"/>
  <c r="N227" i="10"/>
  <c r="N229" i="10"/>
  <c r="N231" i="10"/>
  <c r="N233" i="10"/>
  <c r="N235" i="10"/>
  <c r="N237" i="10"/>
  <c r="N239" i="10"/>
  <c r="N241" i="10"/>
  <c r="N243" i="10"/>
  <c r="N245" i="10"/>
  <c r="N247" i="10"/>
  <c r="N249" i="10"/>
  <c r="N251" i="10"/>
  <c r="N253" i="10"/>
  <c r="N255" i="10"/>
  <c r="N257" i="10"/>
  <c r="N259" i="10"/>
  <c r="N261" i="10"/>
  <c r="N263" i="10"/>
  <c r="N265" i="10"/>
  <c r="N267" i="10"/>
  <c r="N269" i="10"/>
  <c r="N271" i="10"/>
  <c r="N273" i="10"/>
  <c r="N275" i="10"/>
  <c r="N277" i="10"/>
  <c r="N279" i="10"/>
  <c r="N281" i="10"/>
  <c r="N283" i="10"/>
  <c r="N285" i="10"/>
  <c r="N288" i="10"/>
  <c r="N290" i="10"/>
  <c r="N292" i="10"/>
  <c r="N295" i="10"/>
  <c r="N297" i="10"/>
  <c r="N299" i="10"/>
  <c r="N301" i="10"/>
  <c r="N303" i="10"/>
  <c r="N305" i="10"/>
  <c r="N307" i="10"/>
  <c r="N309" i="10"/>
  <c r="N311" i="10"/>
  <c r="N313" i="10"/>
  <c r="N315" i="10"/>
  <c r="N317" i="10"/>
  <c r="N319" i="10"/>
  <c r="N321" i="10"/>
  <c r="N323" i="10"/>
  <c r="N325" i="10"/>
  <c r="N327" i="10"/>
  <c r="N329" i="10"/>
  <c r="N331" i="10"/>
  <c r="N333" i="10"/>
  <c r="N336" i="10"/>
  <c r="N338" i="10"/>
  <c r="N340" i="10"/>
  <c r="N342" i="10"/>
  <c r="N344" i="10"/>
  <c r="N346" i="10"/>
  <c r="N348" i="10"/>
  <c r="N350" i="10"/>
  <c r="N352" i="10"/>
  <c r="N354" i="10"/>
  <c r="N356" i="10"/>
  <c r="N358" i="10"/>
  <c r="N360" i="10"/>
  <c r="N362" i="10"/>
  <c r="N364" i="10"/>
  <c r="N366" i="10"/>
  <c r="N368" i="10"/>
  <c r="N370" i="10"/>
  <c r="N372" i="10"/>
  <c r="N374" i="10"/>
  <c r="N376" i="10"/>
  <c r="N378" i="10"/>
  <c r="N380" i="10"/>
  <c r="N382" i="10"/>
  <c r="N384" i="10"/>
  <c r="N386" i="10"/>
  <c r="N388" i="10"/>
  <c r="N402" i="8"/>
  <c r="N401" i="8"/>
  <c r="N400" i="8"/>
  <c r="N399" i="8"/>
  <c r="N398" i="8"/>
  <c r="N397" i="8"/>
  <c r="N396" i="8"/>
  <c r="N395" i="8"/>
  <c r="N394" i="8"/>
  <c r="N393" i="8"/>
  <c r="N392" i="8"/>
  <c r="N391" i="8"/>
  <c r="M402" i="8"/>
  <c r="M401" i="8"/>
  <c r="M400" i="8"/>
  <c r="M399" i="8"/>
  <c r="M398" i="8"/>
  <c r="M397" i="8"/>
  <c r="M396" i="8"/>
  <c r="M395" i="8"/>
  <c r="M394" i="8"/>
  <c r="M393" i="8"/>
  <c r="M392" i="8"/>
  <c r="M391" i="8"/>
  <c r="L402" i="8"/>
  <c r="L401" i="8"/>
  <c r="L400" i="8"/>
  <c r="L399" i="8"/>
  <c r="L398" i="8"/>
  <c r="L397" i="8"/>
  <c r="L396" i="8"/>
  <c r="L395" i="8"/>
  <c r="L394" i="8"/>
  <c r="L393" i="8"/>
  <c r="L392" i="8"/>
  <c r="L391" i="8"/>
  <c r="K402" i="8"/>
  <c r="K401" i="8"/>
  <c r="K400" i="8"/>
  <c r="K399" i="8"/>
  <c r="K398" i="8"/>
  <c r="K397" i="8"/>
  <c r="K396" i="8"/>
  <c r="K395" i="8"/>
  <c r="K394" i="8"/>
  <c r="K393" i="8"/>
  <c r="K392" i="8"/>
  <c r="K391" i="8"/>
  <c r="I402" i="8"/>
  <c r="I401" i="8"/>
  <c r="I400" i="8"/>
  <c r="I399" i="8"/>
  <c r="I398" i="8"/>
  <c r="I397" i="8"/>
  <c r="I396" i="8"/>
  <c r="I395" i="8"/>
  <c r="I394" i="8"/>
  <c r="I393" i="8"/>
  <c r="I392" i="8"/>
  <c r="I391" i="8"/>
  <c r="H402" i="8"/>
  <c r="H401" i="8"/>
  <c r="H400" i="8"/>
  <c r="H399" i="8"/>
  <c r="H398" i="8"/>
  <c r="H397" i="8"/>
  <c r="H396" i="8"/>
  <c r="H395" i="8"/>
  <c r="H394" i="8"/>
  <c r="H393" i="8"/>
  <c r="H392" i="8"/>
  <c r="H391" i="8"/>
  <c r="G389" i="8"/>
  <c r="G388" i="8"/>
  <c r="G387" i="8"/>
  <c r="G386" i="8"/>
  <c r="G385" i="8"/>
  <c r="G384" i="8"/>
  <c r="G383" i="8"/>
  <c r="G382" i="8"/>
  <c r="G381" i="8"/>
  <c r="G380" i="8"/>
  <c r="G379" i="8"/>
  <c r="G378" i="8"/>
  <c r="G377" i="8"/>
  <c r="G376" i="8"/>
  <c r="G375" i="8"/>
  <c r="G374" i="8"/>
  <c r="G373" i="8"/>
  <c r="G372" i="8"/>
  <c r="G371" i="8"/>
  <c r="G370" i="8"/>
  <c r="G369" i="8"/>
  <c r="G368" i="8"/>
  <c r="G367" i="8"/>
  <c r="G366" i="8"/>
  <c r="G365" i="8"/>
  <c r="G364" i="8"/>
  <c r="G363" i="8"/>
  <c r="G362" i="8"/>
  <c r="G361" i="8"/>
  <c r="G360" i="8"/>
  <c r="G359" i="8"/>
  <c r="G358" i="8"/>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8" i="8"/>
  <c r="G327" i="8"/>
  <c r="G326" i="8"/>
  <c r="G325" i="8"/>
  <c r="G324" i="8"/>
  <c r="G323" i="8"/>
  <c r="G322"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92" i="8"/>
  <c r="G291" i="8"/>
  <c r="G290" i="8"/>
  <c r="G289" i="8"/>
  <c r="G288" i="8"/>
  <c r="G287" i="8"/>
  <c r="G286"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56" i="8"/>
  <c r="G255" i="8"/>
  <c r="G254" i="8"/>
  <c r="G253" i="8"/>
  <c r="G252"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20" i="8"/>
  <c r="G219" i="8"/>
  <c r="G218" i="8"/>
  <c r="G217" i="8"/>
  <c r="G216" i="8"/>
  <c r="G215" i="8"/>
  <c r="G214" i="8"/>
  <c r="G213" i="8"/>
  <c r="G212" i="8"/>
  <c r="G211"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84" i="8"/>
  <c r="G183" i="8"/>
  <c r="G182" i="8"/>
  <c r="G181" i="8"/>
  <c r="G180" i="8"/>
  <c r="G179" i="8"/>
  <c r="G178"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2" i="8"/>
  <c r="N390" i="8"/>
  <c r="I390" i="8"/>
  <c r="H390" i="8"/>
  <c r="C9" i="4" s="1"/>
  <c r="Z4" i="4" s="1"/>
  <c r="Z5" i="4" s="1"/>
  <c r="G390" i="10" l="1"/>
  <c r="X38" i="4" s="1"/>
  <c r="B390" i="10"/>
  <c r="F392" i="8"/>
  <c r="F396" i="8"/>
  <c r="F400" i="8"/>
  <c r="F393" i="8"/>
  <c r="F397" i="8"/>
  <c r="F401" i="8"/>
  <c r="F394" i="8"/>
  <c r="F398" i="8"/>
  <c r="F402" i="8"/>
  <c r="F391" i="8"/>
  <c r="F395" i="8"/>
  <c r="F399" i="8"/>
  <c r="J6" i="1"/>
  <c r="C52" i="1" s="1"/>
  <c r="W6" i="3"/>
  <c r="G393" i="8"/>
  <c r="G397" i="8"/>
  <c r="G401" i="8"/>
  <c r="G394" i="8"/>
  <c r="G398" i="8"/>
  <c r="G402" i="8"/>
  <c r="G391" i="8"/>
  <c r="G395" i="8"/>
  <c r="G399" i="8"/>
  <c r="D390" i="10"/>
  <c r="Z46" i="4" s="1"/>
  <c r="G392" i="8"/>
  <c r="G396" i="8"/>
  <c r="G400" i="8"/>
  <c r="N390" i="10"/>
  <c r="G390" i="8"/>
  <c r="S48" i="4" l="1"/>
  <c r="T48" i="4" s="1"/>
  <c r="S46" i="4"/>
  <c r="T46" i="4" s="1"/>
  <c r="Y46" i="4" s="1"/>
  <c r="S47" i="4"/>
  <c r="T47" i="4" s="1"/>
  <c r="T38" i="4"/>
  <c r="G23" i="1"/>
  <c r="G13" i="1"/>
  <c r="G32" i="1"/>
  <c r="M390" i="8"/>
  <c r="L390" i="8"/>
  <c r="K390" i="8"/>
  <c r="Y47" i="4" l="1"/>
  <c r="AA47" i="4"/>
  <c r="Y48" i="4"/>
  <c r="AA48" i="4"/>
  <c r="AA46" i="4"/>
  <c r="F390" i="8"/>
  <c r="C13" i="4" s="1"/>
  <c r="J9" i="1" s="1"/>
  <c r="R402" i="7"/>
  <c r="R401" i="7"/>
  <c r="R400" i="7"/>
  <c r="R399" i="7"/>
  <c r="R398" i="7"/>
  <c r="R397" i="7"/>
  <c r="R396" i="7"/>
  <c r="R395" i="7"/>
  <c r="R394" i="7"/>
  <c r="R393" i="7"/>
  <c r="R392" i="7"/>
  <c r="R391" i="7"/>
  <c r="R390" i="7"/>
  <c r="AA49" i="4" l="1"/>
  <c r="AA50" i="4" s="1"/>
  <c r="Y49" i="4"/>
  <c r="Y50" i="4" s="1"/>
  <c r="G15" i="4" s="1"/>
  <c r="S393" i="7"/>
  <c r="S398" i="7"/>
  <c r="S392" i="7"/>
  <c r="S399" i="7"/>
  <c r="S402" i="7"/>
  <c r="S400" i="7"/>
  <c r="S394" i="7"/>
  <c r="S391" i="7"/>
  <c r="S395" i="7"/>
  <c r="S401" i="7"/>
  <c r="S397" i="7"/>
  <c r="S396" i="7"/>
  <c r="M402" i="7" l="1"/>
  <c r="L402" i="7"/>
  <c r="K402" i="7"/>
  <c r="J402" i="7"/>
  <c r="I402" i="7"/>
  <c r="H402" i="7"/>
  <c r="G402" i="7"/>
  <c r="F402" i="7"/>
  <c r="E402" i="7"/>
  <c r="D402" i="7"/>
  <c r="M401" i="7"/>
  <c r="L401" i="7"/>
  <c r="K401" i="7"/>
  <c r="J401" i="7"/>
  <c r="I401" i="7"/>
  <c r="H401" i="7"/>
  <c r="G401" i="7"/>
  <c r="F401" i="7"/>
  <c r="E401" i="7"/>
  <c r="D401" i="7"/>
  <c r="M400" i="7"/>
  <c r="L400" i="7"/>
  <c r="K400" i="7"/>
  <c r="J400" i="7"/>
  <c r="I400" i="7"/>
  <c r="H400" i="7"/>
  <c r="G400" i="7"/>
  <c r="F400" i="7"/>
  <c r="E400" i="7"/>
  <c r="D400" i="7"/>
  <c r="M399" i="7"/>
  <c r="L399" i="7"/>
  <c r="K399" i="7"/>
  <c r="J399" i="7"/>
  <c r="I399" i="7"/>
  <c r="H399" i="7"/>
  <c r="G399" i="7"/>
  <c r="F399" i="7"/>
  <c r="E399" i="7"/>
  <c r="D399" i="7"/>
  <c r="M398" i="7"/>
  <c r="L398" i="7"/>
  <c r="K398" i="7"/>
  <c r="J398" i="7"/>
  <c r="I398" i="7"/>
  <c r="H398" i="7"/>
  <c r="G398" i="7"/>
  <c r="F398" i="7"/>
  <c r="E398" i="7"/>
  <c r="D398" i="7"/>
  <c r="M397" i="7"/>
  <c r="L397" i="7"/>
  <c r="K397" i="7"/>
  <c r="J397" i="7"/>
  <c r="I397" i="7"/>
  <c r="H397" i="7"/>
  <c r="G397" i="7"/>
  <c r="F397" i="7"/>
  <c r="E397" i="7"/>
  <c r="D397" i="7"/>
  <c r="M396" i="7"/>
  <c r="L396" i="7"/>
  <c r="K396" i="7"/>
  <c r="J396" i="7"/>
  <c r="I396" i="7"/>
  <c r="H396" i="7"/>
  <c r="G396" i="7"/>
  <c r="F396" i="7"/>
  <c r="E396" i="7"/>
  <c r="D396" i="7"/>
  <c r="M395" i="7"/>
  <c r="L395" i="7"/>
  <c r="K395" i="7"/>
  <c r="J395" i="7"/>
  <c r="I395" i="7"/>
  <c r="H395" i="7"/>
  <c r="G395" i="7"/>
  <c r="F395" i="7"/>
  <c r="E395" i="7"/>
  <c r="D395" i="7"/>
  <c r="M394" i="7"/>
  <c r="L394" i="7"/>
  <c r="K394" i="7"/>
  <c r="J394" i="7"/>
  <c r="I394" i="7"/>
  <c r="H394" i="7"/>
  <c r="G394" i="7"/>
  <c r="F394" i="7"/>
  <c r="E394" i="7"/>
  <c r="D394" i="7"/>
  <c r="M393" i="7"/>
  <c r="L393" i="7"/>
  <c r="K393" i="7"/>
  <c r="J393" i="7"/>
  <c r="I393" i="7"/>
  <c r="H393" i="7"/>
  <c r="G393" i="7"/>
  <c r="F393" i="7"/>
  <c r="E393" i="7"/>
  <c r="D393" i="7"/>
  <c r="M392" i="7"/>
  <c r="L392" i="7"/>
  <c r="K392" i="7"/>
  <c r="J392" i="7"/>
  <c r="I392" i="7"/>
  <c r="H392" i="7"/>
  <c r="G392" i="7"/>
  <c r="F392" i="7"/>
  <c r="E392" i="7"/>
  <c r="D392" i="7"/>
  <c r="M391" i="7"/>
  <c r="L391" i="7"/>
  <c r="K391" i="7"/>
  <c r="J391" i="7"/>
  <c r="I391" i="7"/>
  <c r="H391" i="7"/>
  <c r="G391" i="7"/>
  <c r="F391" i="7"/>
  <c r="E391" i="7"/>
  <c r="D391" i="7"/>
  <c r="Y402" i="9"/>
  <c r="X402" i="9"/>
  <c r="W402" i="9"/>
  <c r="V402" i="9"/>
  <c r="U402" i="9"/>
  <c r="T402" i="9"/>
  <c r="S402" i="9"/>
  <c r="R402" i="9"/>
  <c r="Q402" i="9"/>
  <c r="P402" i="9"/>
  <c r="O402" i="9"/>
  <c r="N402" i="9"/>
  <c r="M402" i="9"/>
  <c r="L402" i="9"/>
  <c r="K402" i="9"/>
  <c r="J402" i="9"/>
  <c r="H402" i="9"/>
  <c r="G402" i="9"/>
  <c r="F402" i="9"/>
  <c r="E402" i="9"/>
  <c r="D402" i="9"/>
  <c r="Y401" i="9"/>
  <c r="X401" i="9"/>
  <c r="W401" i="9"/>
  <c r="V401" i="9"/>
  <c r="U401" i="9"/>
  <c r="T401" i="9"/>
  <c r="S401" i="9"/>
  <c r="R401" i="9"/>
  <c r="Q401" i="9"/>
  <c r="P401" i="9"/>
  <c r="O401" i="9"/>
  <c r="N401" i="9"/>
  <c r="M401" i="9"/>
  <c r="L401" i="9"/>
  <c r="K401" i="9"/>
  <c r="J401" i="9"/>
  <c r="H401" i="9"/>
  <c r="G401" i="9"/>
  <c r="F401" i="9"/>
  <c r="E401" i="9"/>
  <c r="D401" i="9"/>
  <c r="Y400" i="9"/>
  <c r="X400" i="9"/>
  <c r="W400" i="9"/>
  <c r="V400" i="9"/>
  <c r="U400" i="9"/>
  <c r="T400" i="9"/>
  <c r="S400" i="9"/>
  <c r="R400" i="9"/>
  <c r="Q400" i="9"/>
  <c r="P400" i="9"/>
  <c r="O400" i="9"/>
  <c r="N400" i="9"/>
  <c r="M400" i="9"/>
  <c r="L400" i="9"/>
  <c r="K400" i="9"/>
  <c r="J400" i="9"/>
  <c r="H400" i="9"/>
  <c r="G400" i="9"/>
  <c r="F400" i="9"/>
  <c r="E400" i="9"/>
  <c r="D400" i="9"/>
  <c r="Y399" i="9"/>
  <c r="X399" i="9"/>
  <c r="W399" i="9"/>
  <c r="V399" i="9"/>
  <c r="U399" i="9"/>
  <c r="T399" i="9"/>
  <c r="S399" i="9"/>
  <c r="R399" i="9"/>
  <c r="Q399" i="9"/>
  <c r="P399" i="9"/>
  <c r="O399" i="9"/>
  <c r="N399" i="9"/>
  <c r="M399" i="9"/>
  <c r="L399" i="9"/>
  <c r="K399" i="9"/>
  <c r="J399" i="9"/>
  <c r="H399" i="9"/>
  <c r="G399" i="9"/>
  <c r="F399" i="9"/>
  <c r="E399" i="9"/>
  <c r="D399" i="9"/>
  <c r="Y398" i="9"/>
  <c r="X398" i="9"/>
  <c r="W398" i="9"/>
  <c r="V398" i="9"/>
  <c r="U398" i="9"/>
  <c r="T398" i="9"/>
  <c r="S398" i="9"/>
  <c r="R398" i="9"/>
  <c r="Q398" i="9"/>
  <c r="P398" i="9"/>
  <c r="O398" i="9"/>
  <c r="N398" i="9"/>
  <c r="M398" i="9"/>
  <c r="L398" i="9"/>
  <c r="K398" i="9"/>
  <c r="J398" i="9"/>
  <c r="H398" i="9"/>
  <c r="G398" i="9"/>
  <c r="F398" i="9"/>
  <c r="E398" i="9"/>
  <c r="D398" i="9"/>
  <c r="Y397" i="9"/>
  <c r="X397" i="9"/>
  <c r="W397" i="9"/>
  <c r="V397" i="9"/>
  <c r="U397" i="9"/>
  <c r="T397" i="9"/>
  <c r="S397" i="9"/>
  <c r="R397" i="9"/>
  <c r="Q397" i="9"/>
  <c r="P397" i="9"/>
  <c r="O397" i="9"/>
  <c r="N397" i="9"/>
  <c r="M397" i="9"/>
  <c r="L397" i="9"/>
  <c r="K397" i="9"/>
  <c r="J397" i="9"/>
  <c r="H397" i="9"/>
  <c r="G397" i="9"/>
  <c r="F397" i="9"/>
  <c r="E397" i="9"/>
  <c r="D397" i="9"/>
  <c r="Y396" i="9"/>
  <c r="X396" i="9"/>
  <c r="W396" i="9"/>
  <c r="V396" i="9"/>
  <c r="U396" i="9"/>
  <c r="T396" i="9"/>
  <c r="S396" i="9"/>
  <c r="R396" i="9"/>
  <c r="Q396" i="9"/>
  <c r="P396" i="9"/>
  <c r="O396" i="9"/>
  <c r="N396" i="9"/>
  <c r="M396" i="9"/>
  <c r="L396" i="9"/>
  <c r="K396" i="9"/>
  <c r="J396" i="9"/>
  <c r="H396" i="9"/>
  <c r="G396" i="9"/>
  <c r="F396" i="9"/>
  <c r="E396" i="9"/>
  <c r="D396" i="9"/>
  <c r="Y395" i="9"/>
  <c r="X395" i="9"/>
  <c r="W395" i="9"/>
  <c r="V395" i="9"/>
  <c r="U395" i="9"/>
  <c r="T395" i="9"/>
  <c r="S395" i="9"/>
  <c r="R395" i="9"/>
  <c r="Q395" i="9"/>
  <c r="P395" i="9"/>
  <c r="O395" i="9"/>
  <c r="N395" i="9"/>
  <c r="M395" i="9"/>
  <c r="L395" i="9"/>
  <c r="K395" i="9"/>
  <c r="J395" i="9"/>
  <c r="H395" i="9"/>
  <c r="G395" i="9"/>
  <c r="F395" i="9"/>
  <c r="E395" i="9"/>
  <c r="D395" i="9"/>
  <c r="Y394" i="9"/>
  <c r="X394" i="9"/>
  <c r="W394" i="9"/>
  <c r="V394" i="9"/>
  <c r="U394" i="9"/>
  <c r="T394" i="9"/>
  <c r="S394" i="9"/>
  <c r="R394" i="9"/>
  <c r="Q394" i="9"/>
  <c r="P394" i="9"/>
  <c r="O394" i="9"/>
  <c r="N394" i="9"/>
  <c r="M394" i="9"/>
  <c r="L394" i="9"/>
  <c r="K394" i="9"/>
  <c r="J394" i="9"/>
  <c r="H394" i="9"/>
  <c r="G394" i="9"/>
  <c r="F394" i="9"/>
  <c r="E394" i="9"/>
  <c r="D394" i="9"/>
  <c r="Y393" i="9"/>
  <c r="X393" i="9"/>
  <c r="W393" i="9"/>
  <c r="V393" i="9"/>
  <c r="U393" i="9"/>
  <c r="T393" i="9"/>
  <c r="S393" i="9"/>
  <c r="R393" i="9"/>
  <c r="Q393" i="9"/>
  <c r="P393" i="9"/>
  <c r="O393" i="9"/>
  <c r="N393" i="9"/>
  <c r="M393" i="9"/>
  <c r="L393" i="9"/>
  <c r="K393" i="9"/>
  <c r="J393" i="9"/>
  <c r="H393" i="9"/>
  <c r="G393" i="9"/>
  <c r="F393" i="9"/>
  <c r="E393" i="9"/>
  <c r="D393" i="9"/>
  <c r="Y392" i="9"/>
  <c r="X392" i="9"/>
  <c r="W392" i="9"/>
  <c r="V392" i="9"/>
  <c r="U392" i="9"/>
  <c r="T392" i="9"/>
  <c r="S392" i="9"/>
  <c r="R392" i="9"/>
  <c r="Q392" i="9"/>
  <c r="P392" i="9"/>
  <c r="O392" i="9"/>
  <c r="N392" i="9"/>
  <c r="M392" i="9"/>
  <c r="L392" i="9"/>
  <c r="K392" i="9"/>
  <c r="J392" i="9"/>
  <c r="H392" i="9"/>
  <c r="G392" i="9"/>
  <c r="F392" i="9"/>
  <c r="E392" i="9"/>
  <c r="D392" i="9"/>
  <c r="Y391" i="9"/>
  <c r="X391" i="9"/>
  <c r="W391" i="9"/>
  <c r="V391" i="9"/>
  <c r="U391" i="9"/>
  <c r="T391" i="9"/>
  <c r="S391" i="9"/>
  <c r="R391" i="9"/>
  <c r="Q391" i="9"/>
  <c r="P391" i="9"/>
  <c r="O391" i="9"/>
  <c r="N391" i="9"/>
  <c r="M391" i="9"/>
  <c r="L391" i="9"/>
  <c r="K391" i="9"/>
  <c r="J391" i="9"/>
  <c r="H391" i="9"/>
  <c r="G391" i="9"/>
  <c r="F391" i="9"/>
  <c r="E391" i="9"/>
  <c r="D391" i="9"/>
  <c r="Y390" i="9"/>
  <c r="X390" i="9"/>
  <c r="W390" i="9"/>
  <c r="V390" i="9"/>
  <c r="U390" i="9"/>
  <c r="T390" i="9"/>
  <c r="S390" i="9"/>
  <c r="R390" i="9"/>
  <c r="Q390" i="9"/>
  <c r="P390" i="9"/>
  <c r="O390" i="9"/>
  <c r="N390" i="9"/>
  <c r="M390" i="9"/>
  <c r="L390" i="9"/>
  <c r="K390" i="9"/>
  <c r="J390" i="9"/>
  <c r="H390" i="9"/>
  <c r="G390" i="9"/>
  <c r="C55" i="1" s="1"/>
  <c r="F390" i="9"/>
  <c r="E390" i="9"/>
  <c r="D390" i="9"/>
  <c r="C3" i="1" s="1"/>
  <c r="C69" i="1"/>
  <c r="C35" i="1"/>
  <c r="C50" i="1" l="1"/>
  <c r="C89" i="1"/>
  <c r="G89" i="1"/>
  <c r="S4" i="1" l="1"/>
  <c r="Q8" i="1"/>
  <c r="S5" i="1"/>
  <c r="S2" i="1"/>
  <c r="Q4" i="1"/>
  <c r="S3" i="1"/>
  <c r="Q7" i="1"/>
  <c r="S6" i="1"/>
  <c r="Q2" i="1"/>
  <c r="Q29" i="1" s="1"/>
  <c r="X34" i="4" s="1"/>
  <c r="Q3" i="1"/>
  <c r="Q36" i="1"/>
  <c r="Q32" i="1"/>
  <c r="Q5" i="1"/>
  <c r="G44" i="6"/>
  <c r="X30" i="4" s="1"/>
  <c r="J14" i="1" l="1"/>
  <c r="C22" i="6" l="1"/>
  <c r="C23" i="6" s="1"/>
  <c r="O5" i="4" l="1"/>
  <c r="E3" i="3" l="1"/>
  <c r="F3" i="3"/>
  <c r="G5" i="3"/>
  <c r="AC19" i="4" l="1"/>
  <c r="M390" i="7" l="1"/>
  <c r="L390" i="7"/>
  <c r="K390" i="7"/>
  <c r="J390" i="7"/>
  <c r="I390" i="7"/>
  <c r="H390" i="7"/>
  <c r="G390" i="7"/>
  <c r="F390" i="7"/>
  <c r="E390" i="7"/>
  <c r="D390" i="7"/>
  <c r="C66" i="1"/>
  <c r="G53" i="1"/>
  <c r="H30" i="1"/>
  <c r="H31" i="1" s="1"/>
  <c r="H32" i="1" s="1"/>
  <c r="H33" i="1" s="1"/>
  <c r="H34" i="1" s="1"/>
  <c r="H35" i="1" s="1"/>
  <c r="H36" i="1" s="1"/>
  <c r="H37" i="1" s="1"/>
  <c r="H38" i="1" s="1"/>
  <c r="H39" i="1" s="1"/>
  <c r="C32" i="1"/>
  <c r="M12" i="1"/>
  <c r="M8" i="1"/>
  <c r="G1" i="1"/>
  <c r="C1" i="1"/>
  <c r="M73" i="3"/>
  <c r="L73" i="3"/>
  <c r="H73" i="3"/>
  <c r="F73" i="3"/>
  <c r="M71" i="3"/>
  <c r="L71" i="3"/>
  <c r="H71" i="3"/>
  <c r="F71" i="3"/>
  <c r="M69" i="3"/>
  <c r="L69" i="3"/>
  <c r="H69" i="3"/>
  <c r="F69" i="3"/>
  <c r="M67" i="3"/>
  <c r="L67" i="3"/>
  <c r="H67" i="3"/>
  <c r="F67" i="3"/>
  <c r="M65" i="3"/>
  <c r="L65" i="3"/>
  <c r="H65" i="3"/>
  <c r="F65" i="3"/>
  <c r="M63" i="3"/>
  <c r="L63" i="3"/>
  <c r="H63" i="3"/>
  <c r="F63" i="3"/>
  <c r="M61" i="3"/>
  <c r="L61" i="3"/>
  <c r="H61" i="3"/>
  <c r="F61" i="3"/>
  <c r="M59" i="3"/>
  <c r="L59" i="3"/>
  <c r="H59" i="3"/>
  <c r="F59" i="3"/>
  <c r="M57" i="3"/>
  <c r="L57" i="3"/>
  <c r="H57" i="3"/>
  <c r="F57" i="3"/>
  <c r="M55" i="3"/>
  <c r="L55" i="3"/>
  <c r="H55" i="3"/>
  <c r="F55" i="3"/>
  <c r="N54" i="3"/>
  <c r="M54" i="3"/>
  <c r="L54" i="3"/>
  <c r="K54" i="3"/>
  <c r="H54" i="3"/>
  <c r="G54" i="3"/>
  <c r="F54" i="3"/>
  <c r="E54" i="3"/>
  <c r="D54" i="3"/>
  <c r="C14" i="6" s="1"/>
  <c r="C54" i="3"/>
  <c r="Z38" i="3"/>
  <c r="Z37" i="3"/>
  <c r="Z36" i="3"/>
  <c r="Z35" i="3"/>
  <c r="Z34" i="3"/>
  <c r="Z33" i="3"/>
  <c r="Z32" i="3"/>
  <c r="Z31" i="3"/>
  <c r="Z30" i="3"/>
  <c r="N30" i="3"/>
  <c r="Z29" i="3"/>
  <c r="M53" i="3"/>
  <c r="L53" i="3"/>
  <c r="K53" i="3"/>
  <c r="J29" i="3"/>
  <c r="J44" i="3" s="1"/>
  <c r="J68" i="3" s="1"/>
  <c r="I29" i="3"/>
  <c r="H29" i="3"/>
  <c r="H53" i="3" s="1"/>
  <c r="G29" i="3"/>
  <c r="G53" i="3" s="1"/>
  <c r="F29" i="3"/>
  <c r="F53" i="3" s="1"/>
  <c r="AA25" i="3"/>
  <c r="AB25" i="3" s="1"/>
  <c r="AA24" i="3"/>
  <c r="AB24" i="3" s="1"/>
  <c r="AA23" i="3"/>
  <c r="AB23" i="3" s="1"/>
  <c r="AA22" i="3"/>
  <c r="AB22" i="3" s="1"/>
  <c r="AA21" i="3"/>
  <c r="AB21" i="3" s="1"/>
  <c r="AA20" i="3"/>
  <c r="AA19" i="3"/>
  <c r="AB19" i="3" s="1"/>
  <c r="AA18" i="3"/>
  <c r="AA17" i="3"/>
  <c r="AA16" i="3"/>
  <c r="AA15" i="3"/>
  <c r="AB15" i="3" s="1"/>
  <c r="AA14" i="3"/>
  <c r="AA13" i="3"/>
  <c r="AA12" i="3"/>
  <c r="AB12" i="3" s="1"/>
  <c r="AA11" i="3"/>
  <c r="AB11" i="3" s="1"/>
  <c r="AA10" i="3"/>
  <c r="AB10" i="3" s="1"/>
  <c r="AA9" i="3"/>
  <c r="AB9" i="3" s="1"/>
  <c r="AA8" i="3"/>
  <c r="AB8" i="3" s="1"/>
  <c r="AA7" i="3"/>
  <c r="AB7" i="3" s="1"/>
  <c r="AA6" i="3"/>
  <c r="AB6" i="3" s="1"/>
  <c r="AA5" i="3"/>
  <c r="AB5" i="3" s="1"/>
  <c r="AA4" i="3"/>
  <c r="AB4" i="3" s="1"/>
  <c r="AA3" i="3"/>
  <c r="AB3" i="3" s="1"/>
  <c r="AA2" i="3"/>
  <c r="AB2" i="3" s="1"/>
  <c r="X2" i="3"/>
  <c r="C1" i="3"/>
  <c r="C29" i="6"/>
  <c r="C27" i="6"/>
  <c r="C25" i="6"/>
  <c r="F13" i="6"/>
  <c r="F45" i="6" s="1"/>
  <c r="T41" i="4" s="1"/>
  <c r="G8" i="6"/>
  <c r="B2" i="6"/>
  <c r="B1" i="6"/>
  <c r="F4" i="6" s="1"/>
  <c r="G19" i="4"/>
  <c r="W24" i="3" s="1"/>
  <c r="X24" i="3" s="1"/>
  <c r="Z6" i="4"/>
  <c r="Z7" i="4" s="1"/>
  <c r="Z8" i="4" s="1"/>
  <c r="Z9" i="4" s="1"/>
  <c r="Z10" i="4" s="1"/>
  <c r="Z11" i="4" s="1"/>
  <c r="Z12" i="4" s="1"/>
  <c r="Z13" i="4" s="1"/>
  <c r="Z14" i="4" s="1"/>
  <c r="AC14" i="4"/>
  <c r="G14" i="4" s="1"/>
  <c r="M11" i="1" s="1"/>
  <c r="J14" i="4"/>
  <c r="AC13" i="4"/>
  <c r="G13" i="4" s="1"/>
  <c r="W22" i="3" s="1"/>
  <c r="J13" i="4"/>
  <c r="AC12" i="4"/>
  <c r="G12" i="4" s="1"/>
  <c r="M9" i="1" s="1"/>
  <c r="J12" i="4"/>
  <c r="J11" i="4"/>
  <c r="AC10" i="4"/>
  <c r="G10" i="4" s="1"/>
  <c r="W20" i="3" s="1"/>
  <c r="X20" i="3" s="1"/>
  <c r="J10" i="4"/>
  <c r="AC9" i="4"/>
  <c r="G9" i="4" s="1"/>
  <c r="W19" i="3" s="1"/>
  <c r="X19" i="3" s="1"/>
  <c r="J9" i="4"/>
  <c r="AC8" i="4"/>
  <c r="G8" i="4" s="1"/>
  <c r="W16" i="3" s="1"/>
  <c r="X16" i="3" s="1"/>
  <c r="J8" i="4"/>
  <c r="AC7" i="4"/>
  <c r="J7" i="4"/>
  <c r="AC6" i="4"/>
  <c r="G6" i="4" s="1"/>
  <c r="M5" i="1" s="1"/>
  <c r="N5" i="1" s="1"/>
  <c r="J6" i="4"/>
  <c r="AC5" i="4"/>
  <c r="G5" i="4" s="1"/>
  <c r="M6" i="1" s="1"/>
  <c r="N6" i="1" s="1"/>
  <c r="J5" i="4"/>
  <c r="AC4" i="4"/>
  <c r="G4" i="4" s="1"/>
  <c r="M2" i="1" s="1"/>
  <c r="N2" i="1" s="1"/>
  <c r="L4" i="4"/>
  <c r="J4" i="4"/>
  <c r="AC3" i="4"/>
  <c r="C13" i="6" l="1"/>
  <c r="C15" i="6" s="1"/>
  <c r="G40" i="6"/>
  <c r="X24" i="4" s="1"/>
  <c r="T29" i="4"/>
  <c r="T36" i="4"/>
  <c r="Q393" i="7"/>
  <c r="Q398" i="7"/>
  <c r="Q392" i="7"/>
  <c r="Q395" i="7"/>
  <c r="Q397" i="7"/>
  <c r="Q391" i="7"/>
  <c r="Q400" i="7"/>
  <c r="T33" i="4"/>
  <c r="F42" i="6"/>
  <c r="F41" i="6"/>
  <c r="P393" i="7"/>
  <c r="P398" i="7"/>
  <c r="P392" i="7"/>
  <c r="P395" i="7"/>
  <c r="P391" i="7"/>
  <c r="C5" i="3"/>
  <c r="C4" i="3"/>
  <c r="P400" i="7"/>
  <c r="Q396" i="7"/>
  <c r="Q394" i="7"/>
  <c r="P397" i="7"/>
  <c r="P396" i="7"/>
  <c r="P394" i="7"/>
  <c r="P401" i="7"/>
  <c r="P399" i="7"/>
  <c r="P402" i="7"/>
  <c r="Q401" i="7"/>
  <c r="Q399" i="7"/>
  <c r="Q402" i="7"/>
  <c r="Q390" i="7"/>
  <c r="E10" i="3" s="1"/>
  <c r="C6" i="1"/>
  <c r="C40" i="1"/>
  <c r="C73" i="1"/>
  <c r="G7" i="4"/>
  <c r="W15" i="3" s="1"/>
  <c r="X15" i="3" s="1"/>
  <c r="G3" i="4"/>
  <c r="D24" i="3"/>
  <c r="D20" i="3"/>
  <c r="D16" i="3"/>
  <c r="D12" i="3"/>
  <c r="D8" i="3"/>
  <c r="F18" i="3"/>
  <c r="F10" i="3"/>
  <c r="F24" i="3"/>
  <c r="F20" i="3"/>
  <c r="F16" i="3"/>
  <c r="F12" i="3"/>
  <c r="F8" i="3"/>
  <c r="D22" i="3"/>
  <c r="D18" i="3"/>
  <c r="D14" i="3"/>
  <c r="D10" i="3"/>
  <c r="F22" i="3"/>
  <c r="F14" i="3"/>
  <c r="K57" i="3"/>
  <c r="C80" i="1"/>
  <c r="G55" i="1"/>
  <c r="C4" i="6"/>
  <c r="D42" i="3"/>
  <c r="D66" i="3" s="1"/>
  <c r="P390" i="7"/>
  <c r="E13" i="3" s="1"/>
  <c r="M10" i="1"/>
  <c r="J40" i="3"/>
  <c r="J64" i="3" s="1"/>
  <c r="F31" i="6"/>
  <c r="F39" i="6" s="1"/>
  <c r="K47" i="3"/>
  <c r="K45" i="3"/>
  <c r="K43" i="3"/>
  <c r="O49" i="3"/>
  <c r="R47" i="3"/>
  <c r="R43" i="3"/>
  <c r="O39" i="3"/>
  <c r="R35" i="3"/>
  <c r="O33" i="3"/>
  <c r="O31" i="3"/>
  <c r="R59" i="3"/>
  <c r="O55" i="3"/>
  <c r="AA32" i="3"/>
  <c r="AB14" i="3"/>
  <c r="AA34" i="3"/>
  <c r="AB16" i="3"/>
  <c r="AA36" i="3"/>
  <c r="AB18" i="3"/>
  <c r="AA38" i="3"/>
  <c r="AB20" i="3"/>
  <c r="C48" i="3"/>
  <c r="C72" i="3" s="1"/>
  <c r="E48" i="3"/>
  <c r="E72" i="3" s="1"/>
  <c r="E46" i="3"/>
  <c r="E70" i="3" s="1"/>
  <c r="E42" i="3"/>
  <c r="E66" i="3" s="1"/>
  <c r="E36" i="3"/>
  <c r="E60" i="3" s="1"/>
  <c r="E32" i="3"/>
  <c r="E56" i="3" s="1"/>
  <c r="E53" i="3"/>
  <c r="I42" i="3"/>
  <c r="I66" i="3" s="1"/>
  <c r="I44" i="3"/>
  <c r="I68" i="3" s="1"/>
  <c r="I40" i="3"/>
  <c r="I64" i="3" s="1"/>
  <c r="I38" i="3"/>
  <c r="I62" i="3" s="1"/>
  <c r="I34" i="3"/>
  <c r="I58" i="3" s="1"/>
  <c r="I53" i="3"/>
  <c r="AA29" i="3"/>
  <c r="AA30" i="3"/>
  <c r="K33" i="3"/>
  <c r="E34" i="3"/>
  <c r="E58" i="3" s="1"/>
  <c r="I36" i="3"/>
  <c r="I60" i="3" s="1"/>
  <c r="E38" i="3"/>
  <c r="E62" i="3" s="1"/>
  <c r="R39" i="3"/>
  <c r="O41" i="3"/>
  <c r="O43" i="3"/>
  <c r="I46" i="3"/>
  <c r="I70" i="3" s="1"/>
  <c r="O47" i="3"/>
  <c r="AA31" i="3"/>
  <c r="AB13" i="3"/>
  <c r="AA35" i="3"/>
  <c r="AB17" i="3"/>
  <c r="W21" i="3"/>
  <c r="O57" i="3" s="1"/>
  <c r="W23" i="3"/>
  <c r="O71" i="3" s="1"/>
  <c r="I30" i="3"/>
  <c r="I54" i="3" s="1"/>
  <c r="R33" i="3"/>
  <c r="AA33" i="3"/>
  <c r="K35" i="3"/>
  <c r="O37" i="3"/>
  <c r="AA37" i="3"/>
  <c r="K39" i="3"/>
  <c r="E44" i="3"/>
  <c r="E68" i="3" s="1"/>
  <c r="R45" i="3"/>
  <c r="I48" i="3"/>
  <c r="I72" i="3" s="1"/>
  <c r="B4" i="6"/>
  <c r="G4" i="6"/>
  <c r="J30" i="3"/>
  <c r="J54" i="3" s="1"/>
  <c r="J36" i="3"/>
  <c r="J60" i="3" s="1"/>
  <c r="J46" i="3"/>
  <c r="J70" i="3" s="1"/>
  <c r="J48" i="3"/>
  <c r="J72" i="3" s="1"/>
  <c r="J53" i="3"/>
  <c r="P29" i="3"/>
  <c r="G31" i="3"/>
  <c r="N31" i="3"/>
  <c r="C32" i="3"/>
  <c r="J32" i="3"/>
  <c r="J56" i="3" s="1"/>
  <c r="D34" i="3"/>
  <c r="D58" i="3" s="1"/>
  <c r="G37" i="3"/>
  <c r="N37" i="3"/>
  <c r="D38" i="3"/>
  <c r="D62" i="3" s="1"/>
  <c r="G41" i="3"/>
  <c r="N41" i="3"/>
  <c r="C42" i="3"/>
  <c r="J42" i="3"/>
  <c r="J66" i="3" s="1"/>
  <c r="D44" i="3"/>
  <c r="D68" i="3" s="1"/>
  <c r="G49" i="3"/>
  <c r="N49" i="3"/>
  <c r="D53" i="3"/>
  <c r="N55" i="3"/>
  <c r="G57" i="3"/>
  <c r="K31" i="3"/>
  <c r="R31" i="3"/>
  <c r="I32" i="3"/>
  <c r="G33" i="3"/>
  <c r="N33" i="3"/>
  <c r="C34" i="3"/>
  <c r="J34" i="3"/>
  <c r="J58" i="3" s="1"/>
  <c r="O35" i="3"/>
  <c r="D36" i="3"/>
  <c r="D60" i="3" s="1"/>
  <c r="K37" i="3"/>
  <c r="R37" i="3"/>
  <c r="C38" i="3"/>
  <c r="J38" i="3"/>
  <c r="J62" i="3" s="1"/>
  <c r="E40" i="3"/>
  <c r="E64" i="3" s="1"/>
  <c r="K41" i="3"/>
  <c r="R41" i="3"/>
  <c r="G43" i="3"/>
  <c r="N43" i="3"/>
  <c r="C44" i="3"/>
  <c r="O45" i="3"/>
  <c r="D46" i="3"/>
  <c r="D70" i="3" s="1"/>
  <c r="K49" i="3"/>
  <c r="C53" i="3"/>
  <c r="R55" i="3"/>
  <c r="O59" i="3"/>
  <c r="C42" i="1"/>
  <c r="C24" i="1"/>
  <c r="C75" i="1"/>
  <c r="G35" i="3"/>
  <c r="N35" i="3"/>
  <c r="C36" i="3"/>
  <c r="D40" i="3"/>
  <c r="D64" i="3" s="1"/>
  <c r="G45" i="3"/>
  <c r="N45" i="3"/>
  <c r="C46" i="3"/>
  <c r="D48" i="3"/>
  <c r="D72" i="3" s="1"/>
  <c r="N59" i="3"/>
  <c r="K11" i="1"/>
  <c r="J11" i="1" s="1"/>
  <c r="D32" i="3"/>
  <c r="G39" i="3"/>
  <c r="N39" i="3"/>
  <c r="C40" i="3"/>
  <c r="G47" i="3"/>
  <c r="N47" i="3"/>
  <c r="C22" i="1"/>
  <c r="E12" i="3" l="1"/>
  <c r="N8" i="4" s="1"/>
  <c r="E9" i="3"/>
  <c r="N9" i="3" s="1"/>
  <c r="E11" i="3"/>
  <c r="E8" i="3"/>
  <c r="S5" i="4"/>
  <c r="G43" i="6"/>
  <c r="C31" i="6"/>
  <c r="G31" i="6" s="1"/>
  <c r="C8" i="3"/>
  <c r="O6" i="4" s="1"/>
  <c r="F6" i="6"/>
  <c r="Y4" i="4"/>
  <c r="C86" i="1"/>
  <c r="Q6" i="1" s="1"/>
  <c r="R6" i="3"/>
  <c r="S6" i="3" s="1"/>
  <c r="O6" i="3"/>
  <c r="N7" i="3"/>
  <c r="O54" i="3"/>
  <c r="M3" i="1"/>
  <c r="N3" i="1" s="1"/>
  <c r="N13" i="3"/>
  <c r="R61" i="3"/>
  <c r="N69" i="3"/>
  <c r="M13" i="1"/>
  <c r="Q34" i="1" s="1"/>
  <c r="K61" i="3"/>
  <c r="O67" i="3"/>
  <c r="J12" i="1"/>
  <c r="N61" i="3"/>
  <c r="N57" i="3"/>
  <c r="G55" i="3"/>
  <c r="G69" i="3"/>
  <c r="R67" i="3"/>
  <c r="K73" i="3"/>
  <c r="K63" i="3"/>
  <c r="O69" i="3"/>
  <c r="R65" i="3"/>
  <c r="N65" i="3"/>
  <c r="G59" i="3"/>
  <c r="O65" i="3"/>
  <c r="K71" i="3"/>
  <c r="O63" i="3"/>
  <c r="G63" i="3"/>
  <c r="R73" i="3"/>
  <c r="K69" i="3"/>
  <c r="N67" i="3"/>
  <c r="O61" i="3"/>
  <c r="G61" i="3"/>
  <c r="N73" i="3"/>
  <c r="G67" i="3"/>
  <c r="R63" i="3"/>
  <c r="K59" i="3"/>
  <c r="N71" i="3"/>
  <c r="G65" i="3"/>
  <c r="D56" i="3"/>
  <c r="G43" i="1"/>
  <c r="C2" i="1"/>
  <c r="I47" i="3"/>
  <c r="I71" i="3" s="1"/>
  <c r="AB37" i="3"/>
  <c r="J47" i="3"/>
  <c r="J71" i="3" s="1"/>
  <c r="I31" i="3"/>
  <c r="I55" i="3" s="1"/>
  <c r="AB29" i="3"/>
  <c r="J31" i="3"/>
  <c r="J55" i="3" s="1"/>
  <c r="I49" i="3"/>
  <c r="I73" i="3" s="1"/>
  <c r="J49" i="3"/>
  <c r="J73" i="3" s="1"/>
  <c r="AB38" i="3"/>
  <c r="I45" i="3"/>
  <c r="I69" i="3" s="1"/>
  <c r="J45" i="3"/>
  <c r="J69" i="3" s="1"/>
  <c r="AB36" i="3"/>
  <c r="J41" i="3"/>
  <c r="J65" i="3" s="1"/>
  <c r="I41" i="3"/>
  <c r="I65" i="3" s="1"/>
  <c r="AB34" i="3"/>
  <c r="J37" i="3"/>
  <c r="J61" i="3" s="1"/>
  <c r="AB32" i="3"/>
  <c r="I37" i="3"/>
  <c r="I61" i="3" s="1"/>
  <c r="R57" i="3"/>
  <c r="R71" i="3"/>
  <c r="K55" i="3"/>
  <c r="O30" i="3"/>
  <c r="O73" i="3"/>
  <c r="G73" i="3"/>
  <c r="R69" i="3"/>
  <c r="K65" i="3"/>
  <c r="N63" i="3"/>
  <c r="G71" i="3"/>
  <c r="J39" i="3"/>
  <c r="J63" i="3" s="1"/>
  <c r="AB33" i="3"/>
  <c r="I39" i="3"/>
  <c r="I63" i="3" s="1"/>
  <c r="I43" i="3"/>
  <c r="I67" i="3" s="1"/>
  <c r="J43" i="3"/>
  <c r="J67" i="3" s="1"/>
  <c r="AB35" i="3"/>
  <c r="J35" i="3"/>
  <c r="J59" i="3" s="1"/>
  <c r="AB31" i="3"/>
  <c r="I35" i="3"/>
  <c r="I59" i="3" s="1"/>
  <c r="J33" i="3"/>
  <c r="J57" i="3" s="1"/>
  <c r="AB30" i="3"/>
  <c r="I33" i="3"/>
  <c r="I57" i="3" s="1"/>
  <c r="K67" i="3"/>
  <c r="N40" i="3"/>
  <c r="O40" i="3" s="1"/>
  <c r="C64" i="3"/>
  <c r="P53" i="3"/>
  <c r="C68" i="3"/>
  <c r="N44" i="3"/>
  <c r="O44" i="3" s="1"/>
  <c r="C62" i="3"/>
  <c r="N38" i="3"/>
  <c r="O38" i="3" s="1"/>
  <c r="N56" i="3"/>
  <c r="N32" i="3"/>
  <c r="O32" i="3" s="1"/>
  <c r="C56" i="3"/>
  <c r="C8" i="1"/>
  <c r="C62" i="1"/>
  <c r="C58" i="3"/>
  <c r="N34" i="3"/>
  <c r="N42" i="3"/>
  <c r="O42" i="3" s="1"/>
  <c r="C66" i="3"/>
  <c r="N48" i="3"/>
  <c r="O48" i="3" s="1"/>
  <c r="C20" i="3"/>
  <c r="O12" i="4" s="1"/>
  <c r="C14" i="3"/>
  <c r="O9" i="4" s="1"/>
  <c r="C22" i="3"/>
  <c r="O13" i="4" s="1"/>
  <c r="C16" i="3"/>
  <c r="O10" i="4" s="1"/>
  <c r="C12" i="3"/>
  <c r="O8" i="4" s="1"/>
  <c r="C24" i="3"/>
  <c r="O14" i="4" s="1"/>
  <c r="C18" i="3"/>
  <c r="O11" i="4" s="1"/>
  <c r="W11" i="3"/>
  <c r="C10" i="3"/>
  <c r="O7" i="4" s="1"/>
  <c r="C70" i="3"/>
  <c r="N46" i="3"/>
  <c r="O46" i="3" s="1"/>
  <c r="C60" i="3"/>
  <c r="N36" i="3"/>
  <c r="O36" i="3" s="1"/>
  <c r="G2" i="1"/>
  <c r="C34" i="1"/>
  <c r="I56" i="3"/>
  <c r="N72" i="3"/>
  <c r="O72" i="3" s="1"/>
  <c r="C68" i="1"/>
  <c r="E24" i="3" l="1"/>
  <c r="V31" i="3"/>
  <c r="N11" i="3"/>
  <c r="E20" i="3"/>
  <c r="N7" i="4"/>
  <c r="N6" i="4"/>
  <c r="E16" i="3"/>
  <c r="V30" i="3"/>
  <c r="E18" i="3"/>
  <c r="E22" i="3"/>
  <c r="E14" i="3"/>
  <c r="AB4" i="4"/>
  <c r="T28" i="4" s="1"/>
  <c r="T6" i="3"/>
  <c r="Q5" i="4" s="1"/>
  <c r="P6" i="3"/>
  <c r="Q6" i="3" s="1"/>
  <c r="R10" i="3"/>
  <c r="O10" i="3"/>
  <c r="O8" i="3"/>
  <c r="R8" i="3"/>
  <c r="O12" i="3"/>
  <c r="R12" i="3"/>
  <c r="S30" i="3"/>
  <c r="F9" i="6"/>
  <c r="F38" i="6"/>
  <c r="T27" i="4" s="1"/>
  <c r="E37" i="3"/>
  <c r="E61" i="3" s="1"/>
  <c r="C37" i="3"/>
  <c r="C61" i="3" s="1"/>
  <c r="D37" i="3"/>
  <c r="D61" i="3" s="1"/>
  <c r="E41" i="3"/>
  <c r="E65" i="3" s="1"/>
  <c r="C41" i="3"/>
  <c r="C65" i="3" s="1"/>
  <c r="D41" i="3"/>
  <c r="D65" i="3" s="1"/>
  <c r="D49" i="3"/>
  <c r="D73" i="3" s="1"/>
  <c r="E49" i="3"/>
  <c r="E73" i="3" s="1"/>
  <c r="C49" i="3"/>
  <c r="C73" i="3" s="1"/>
  <c r="D31" i="3"/>
  <c r="D55" i="3" s="1"/>
  <c r="C31" i="3"/>
  <c r="E31" i="3"/>
  <c r="E55" i="3" s="1"/>
  <c r="D47" i="3"/>
  <c r="D71" i="3" s="1"/>
  <c r="C47" i="3"/>
  <c r="C71" i="3" s="1"/>
  <c r="E47" i="3"/>
  <c r="E71" i="3" s="1"/>
  <c r="E33" i="3"/>
  <c r="E57" i="3" s="1"/>
  <c r="C33" i="3"/>
  <c r="D33" i="3"/>
  <c r="D57" i="3" s="1"/>
  <c r="E35" i="3"/>
  <c r="E59" i="3" s="1"/>
  <c r="C35" i="3"/>
  <c r="C59" i="3" s="1"/>
  <c r="D35" i="3"/>
  <c r="D59" i="3" s="1"/>
  <c r="D43" i="3"/>
  <c r="D67" i="3" s="1"/>
  <c r="C43" i="3"/>
  <c r="C67" i="3" s="1"/>
  <c r="E43" i="3"/>
  <c r="E67" i="3" s="1"/>
  <c r="E39" i="3"/>
  <c r="E63" i="3" s="1"/>
  <c r="C39" i="3"/>
  <c r="C63" i="3" s="1"/>
  <c r="D39" i="3"/>
  <c r="D63" i="3" s="1"/>
  <c r="D45" i="3"/>
  <c r="D69" i="3" s="1"/>
  <c r="E45" i="3"/>
  <c r="E69" i="3" s="1"/>
  <c r="C45" i="3"/>
  <c r="C69" i="3" s="1"/>
  <c r="S54" i="3"/>
  <c r="S6" i="4"/>
  <c r="N66" i="3"/>
  <c r="O66" i="3" s="1"/>
  <c r="N64" i="3"/>
  <c r="N62" i="3"/>
  <c r="O62" i="3" s="1"/>
  <c r="O34" i="3"/>
  <c r="N60" i="3"/>
  <c r="O60" i="3" s="1"/>
  <c r="N70" i="3"/>
  <c r="N58" i="3"/>
  <c r="N68" i="3"/>
  <c r="O68" i="3" s="1"/>
  <c r="O56" i="3"/>
  <c r="V32" i="3" l="1"/>
  <c r="V33" i="3" s="1"/>
  <c r="V34" i="3" s="1"/>
  <c r="V35" i="3" s="1"/>
  <c r="AA4" i="4"/>
  <c r="T31" i="4" s="1"/>
  <c r="K4" i="4"/>
  <c r="T42" i="3"/>
  <c r="T38" i="3"/>
  <c r="T34" i="3"/>
  <c r="T44" i="3"/>
  <c r="T66" i="3"/>
  <c r="X11" i="4" s="1"/>
  <c r="C57" i="3"/>
  <c r="T56" i="3" s="1"/>
  <c r="X6" i="4" s="1"/>
  <c r="T32" i="3"/>
  <c r="C55" i="3"/>
  <c r="T54" i="3" s="1"/>
  <c r="Q54" i="3" s="1"/>
  <c r="R54" i="3" s="1"/>
  <c r="T30" i="3"/>
  <c r="Q30" i="3"/>
  <c r="R30" i="3" s="1"/>
  <c r="Q32" i="3" s="1"/>
  <c r="T40" i="3"/>
  <c r="S7" i="4"/>
  <c r="S8" i="4" s="1"/>
  <c r="S9" i="4" s="1"/>
  <c r="S10" i="4" s="1"/>
  <c r="S11" i="4" s="1"/>
  <c r="S12" i="4" s="1"/>
  <c r="S13" i="4" s="1"/>
  <c r="S14" i="4" s="1"/>
  <c r="O58" i="3"/>
  <c r="T36" i="3"/>
  <c r="T48" i="3"/>
  <c r="T46" i="3"/>
  <c r="S8" i="3"/>
  <c r="T58" i="3"/>
  <c r="X7" i="4" s="1"/>
  <c r="T70" i="3"/>
  <c r="X13" i="4" s="1"/>
  <c r="T72" i="3"/>
  <c r="X14" i="4" s="1"/>
  <c r="T68" i="3"/>
  <c r="X12" i="4" s="1"/>
  <c r="P8" i="3"/>
  <c r="Q8" i="3" s="1"/>
  <c r="O70" i="3"/>
  <c r="O64" i="3"/>
  <c r="T62" i="3"/>
  <c r="X9" i="4" s="1"/>
  <c r="T64" i="3"/>
  <c r="X10" i="4" s="1"/>
  <c r="T60" i="3"/>
  <c r="X8" i="4" s="1"/>
  <c r="E17" i="3" l="1"/>
  <c r="N10" i="4" s="1"/>
  <c r="E23" i="3"/>
  <c r="N13" i="4" s="1"/>
  <c r="E21" i="3"/>
  <c r="N12" i="4" s="1"/>
  <c r="E19" i="3"/>
  <c r="N11" i="4" s="1"/>
  <c r="E15" i="3"/>
  <c r="N9" i="4" s="1"/>
  <c r="E25" i="3"/>
  <c r="N14" i="4" s="1"/>
  <c r="T8" i="3"/>
  <c r="Q6" i="4" s="1"/>
  <c r="P30" i="3"/>
  <c r="S32" i="3"/>
  <c r="R5" i="4"/>
  <c r="P54" i="3"/>
  <c r="P55" i="3" s="1"/>
  <c r="S56" i="3"/>
  <c r="Q56" i="3" s="1"/>
  <c r="R56" i="3" s="1"/>
  <c r="X5" i="4"/>
  <c r="C85" i="1"/>
  <c r="Q9" i="1" s="1"/>
  <c r="P10" i="3"/>
  <c r="Q10" i="3" s="1"/>
  <c r="P12" i="3" s="1"/>
  <c r="Q12" i="3" s="1"/>
  <c r="R32" i="3"/>
  <c r="N17" i="3" l="1"/>
  <c r="R22" i="3"/>
  <c r="O16" i="3"/>
  <c r="R20" i="3"/>
  <c r="R16" i="3"/>
  <c r="O22" i="3"/>
  <c r="N23" i="3"/>
  <c r="P31" i="3"/>
  <c r="N19" i="3"/>
  <c r="R18" i="3"/>
  <c r="O20" i="3"/>
  <c r="O18" i="3"/>
  <c r="N21" i="3"/>
  <c r="O24" i="3"/>
  <c r="N15" i="3"/>
  <c r="O14" i="3"/>
  <c r="P14" i="3" s="1"/>
  <c r="Q14" i="3" s="1"/>
  <c r="R14" i="3"/>
  <c r="N25" i="3"/>
  <c r="R24" i="3"/>
  <c r="Q10" i="1"/>
  <c r="H85" i="1"/>
  <c r="H88" i="1" s="1"/>
  <c r="C83" i="1"/>
  <c r="C58" i="1" s="1"/>
  <c r="S10" i="3"/>
  <c r="T10" i="3" s="1"/>
  <c r="P32" i="3"/>
  <c r="P33" i="3" s="1"/>
  <c r="Q34" i="3"/>
  <c r="S34" i="3"/>
  <c r="P56" i="3"/>
  <c r="R6" i="4"/>
  <c r="S58" i="3"/>
  <c r="Q58" i="3" s="1"/>
  <c r="P16" i="3" l="1"/>
  <c r="Q16" i="3" s="1"/>
  <c r="P18" i="3" s="1"/>
  <c r="Q18" i="3" s="1"/>
  <c r="P20" i="3" s="1"/>
  <c r="Q20" i="3" s="1"/>
  <c r="C60" i="1"/>
  <c r="H60" i="1" s="1"/>
  <c r="C82" i="1" s="1"/>
  <c r="G85" i="1"/>
  <c r="I30" i="1"/>
  <c r="L5" i="4" s="1"/>
  <c r="X40" i="4" s="1"/>
  <c r="P57" i="3"/>
  <c r="R34" i="3"/>
  <c r="Q7" i="4"/>
  <c r="S12" i="3"/>
  <c r="R58" i="3"/>
  <c r="P58" i="3" s="1"/>
  <c r="X29" i="4" l="1"/>
  <c r="G67" i="1"/>
  <c r="G16" i="4" s="1"/>
  <c r="Q35" i="1"/>
  <c r="Q37" i="1"/>
  <c r="Q31" i="1"/>
  <c r="X36" i="4"/>
  <c r="X33" i="4"/>
  <c r="P59" i="3"/>
  <c r="Q36" i="3"/>
  <c r="S36" i="3"/>
  <c r="P34" i="3"/>
  <c r="P22" i="3"/>
  <c r="Q22" i="3" s="1"/>
  <c r="P24" i="3" s="1"/>
  <c r="Q24" i="3" s="1"/>
  <c r="R7" i="4"/>
  <c r="S60" i="3"/>
  <c r="Q60" i="3" s="1"/>
  <c r="T12" i="3"/>
  <c r="G39" i="1" l="1"/>
  <c r="G41" i="1" s="1"/>
  <c r="H86" i="1"/>
  <c r="J30" i="1"/>
  <c r="M5" i="4" s="1"/>
  <c r="R36" i="3"/>
  <c r="P36" i="3" s="1"/>
  <c r="R60" i="3"/>
  <c r="Q8" i="4"/>
  <c r="S14" i="3"/>
  <c r="P35" i="3"/>
  <c r="P37" i="3" l="1"/>
  <c r="S38" i="3"/>
  <c r="Q38" i="3"/>
  <c r="T14" i="3"/>
  <c r="R8" i="4"/>
  <c r="S62" i="3"/>
  <c r="Q62" i="3" s="1"/>
  <c r="P60" i="3"/>
  <c r="P61" i="3" l="1"/>
  <c r="R62" i="3"/>
  <c r="P62" i="3" s="1"/>
  <c r="Q9" i="4"/>
  <c r="S16" i="3"/>
  <c r="R38" i="3"/>
  <c r="P63" i="3" l="1"/>
  <c r="T16" i="3"/>
  <c r="P38" i="3"/>
  <c r="S40" i="3"/>
  <c r="Q40" i="3"/>
  <c r="R9" i="4"/>
  <c r="S64" i="3"/>
  <c r="Q64" i="3" s="1"/>
  <c r="Q10" i="4" l="1"/>
  <c r="S18" i="3"/>
  <c r="P39" i="3"/>
  <c r="R40" i="3"/>
  <c r="R64" i="3"/>
  <c r="S42" i="3" l="1"/>
  <c r="Q42" i="3"/>
  <c r="T18" i="3"/>
  <c r="R10" i="4"/>
  <c r="S66" i="3"/>
  <c r="Q66" i="3" s="1"/>
  <c r="P64" i="3"/>
  <c r="P40" i="3"/>
  <c r="R66" i="3" l="1"/>
  <c r="Q11" i="4"/>
  <c r="S20" i="3"/>
  <c r="P41" i="3"/>
  <c r="P65" i="3"/>
  <c r="R42" i="3"/>
  <c r="P42" i="3" s="1"/>
  <c r="P43" i="3" l="1"/>
  <c r="R11" i="4"/>
  <c r="S68" i="3"/>
  <c r="Q68" i="3" s="1"/>
  <c r="T20" i="3"/>
  <c r="P66" i="3"/>
  <c r="Q44" i="3"/>
  <c r="S44" i="3"/>
  <c r="Q12" i="4" l="1"/>
  <c r="S22" i="3"/>
  <c r="R44" i="3"/>
  <c r="P67" i="3"/>
  <c r="R68" i="3"/>
  <c r="P68" i="3" s="1"/>
  <c r="P69" i="3" s="1"/>
  <c r="S46" i="3" l="1"/>
  <c r="P44" i="3"/>
  <c r="Q46" i="3"/>
  <c r="R12" i="4"/>
  <c r="S70" i="3"/>
  <c r="Q70" i="3" s="1"/>
  <c r="T22" i="3"/>
  <c r="R46" i="3" l="1"/>
  <c r="P46" i="3" s="1"/>
  <c r="R70" i="3"/>
  <c r="Q13" i="4"/>
  <c r="S24" i="3"/>
  <c r="P45" i="3"/>
  <c r="P47" i="3" l="1"/>
  <c r="R13" i="4"/>
  <c r="S72" i="3"/>
  <c r="Q72" i="3" s="1"/>
  <c r="P70" i="3"/>
  <c r="T24" i="3"/>
  <c r="Q14" i="4" s="1"/>
  <c r="Q48" i="3"/>
  <c r="S48" i="3"/>
  <c r="R48" i="3" l="1"/>
  <c r="P48" i="3" s="1"/>
  <c r="P49" i="3" s="1"/>
  <c r="P71" i="3"/>
  <c r="R72" i="3"/>
  <c r="R14" i="4" s="1"/>
  <c r="P72" i="3" l="1"/>
  <c r="P73" i="3" s="1"/>
  <c r="X35" i="4" l="1"/>
  <c r="L30" i="1" l="1"/>
  <c r="M30" i="1" s="1"/>
  <c r="T5" i="4" s="1"/>
  <c r="H17" i="4"/>
  <c r="H18" i="4" s="1"/>
  <c r="M14" i="1"/>
  <c r="Q33" i="1" s="1"/>
  <c r="H41" i="1"/>
  <c r="G66" i="1" s="1"/>
  <c r="X43" i="4" l="1"/>
  <c r="M15" i="1"/>
  <c r="N13" i="1" s="1"/>
  <c r="K39" i="1" s="1"/>
  <c r="X44" i="4"/>
  <c r="H87" i="1"/>
  <c r="H89" i="1" s="1"/>
  <c r="N30" i="1"/>
  <c r="K35" i="1" l="1"/>
  <c r="K34" i="1"/>
  <c r="K38" i="1"/>
  <c r="K33" i="1"/>
  <c r="K36" i="1"/>
  <c r="K31" i="1"/>
  <c r="K37" i="1"/>
  <c r="K32" i="1"/>
  <c r="I32" i="1"/>
  <c r="L7" i="4" s="1"/>
  <c r="I31" i="1"/>
  <c r="L6" i="4" s="1"/>
  <c r="I39" i="1"/>
  <c r="L14" i="4" s="1"/>
  <c r="I38" i="1"/>
  <c r="L13" i="4" s="1"/>
  <c r="I37" i="1"/>
  <c r="L12" i="4" s="1"/>
  <c r="I36" i="1"/>
  <c r="L11" i="4" s="1"/>
  <c r="I33" i="1"/>
  <c r="L8" i="4" s="1"/>
  <c r="I35" i="1"/>
  <c r="L10" i="4" s="1"/>
  <c r="I34" i="1"/>
  <c r="L9" i="4" s="1"/>
  <c r="Q30" i="1"/>
  <c r="X39" i="4" s="1"/>
  <c r="J32" i="1"/>
  <c r="J38" i="1"/>
  <c r="J33" i="1"/>
  <c r="J39" i="1"/>
  <c r="J34" i="1"/>
  <c r="J35" i="1"/>
  <c r="J36" i="1"/>
  <c r="J31" i="1"/>
  <c r="J37" i="1"/>
  <c r="P5" i="4"/>
  <c r="Y5" i="4" s="1"/>
  <c r="AB5" i="4" s="1"/>
  <c r="G13" i="6"/>
  <c r="G46" i="6" l="1"/>
  <c r="G45" i="6"/>
  <c r="X41" i="4" s="1"/>
  <c r="L35" i="1"/>
  <c r="L31" i="1"/>
  <c r="M31" i="1" s="1"/>
  <c r="T6" i="4" s="1"/>
  <c r="M6" i="4" s="1"/>
  <c r="L36" i="1"/>
  <c r="L38" i="1"/>
  <c r="L37" i="1"/>
  <c r="L34" i="1"/>
  <c r="L39" i="1"/>
  <c r="L32" i="1"/>
  <c r="L33" i="1"/>
  <c r="X25" i="4"/>
  <c r="X28" i="4"/>
  <c r="G6" i="6"/>
  <c r="G41" i="6"/>
  <c r="G39" i="6"/>
  <c r="G42" i="6"/>
  <c r="K5" i="4"/>
  <c r="AA5" i="4"/>
  <c r="X31" i="4" s="1"/>
  <c r="N31" i="1" l="1"/>
  <c r="P6" i="4" s="1"/>
  <c r="Y6" i="4" s="1"/>
  <c r="AB6" i="4" s="1"/>
  <c r="G38" i="6"/>
  <c r="X27" i="4" s="1"/>
  <c r="G9" i="6"/>
  <c r="M32" i="1" l="1"/>
  <c r="T7" i="4" s="1"/>
  <c r="M7" i="4" s="1"/>
  <c r="N32" i="1" l="1"/>
  <c r="M33" i="1" s="1"/>
  <c r="K6" i="4"/>
  <c r="AA6" i="4"/>
  <c r="P7" i="4" l="1"/>
  <c r="Y7" i="4" s="1"/>
  <c r="AB7" i="4" s="1"/>
  <c r="T8" i="4"/>
  <c r="M8" i="4" s="1"/>
  <c r="N33" i="1"/>
  <c r="AA7" i="4" l="1"/>
  <c r="K7" i="4"/>
  <c r="P8" i="4"/>
  <c r="Y8" i="4" s="1"/>
  <c r="AB8" i="4" s="1"/>
  <c r="M34" i="1"/>
  <c r="T9" i="4" l="1"/>
  <c r="M9" i="4" s="1"/>
  <c r="N34" i="1"/>
  <c r="K8" i="4" l="1"/>
  <c r="AA8" i="4"/>
  <c r="P9" i="4"/>
  <c r="Y9" i="4" s="1"/>
  <c r="AB9" i="4" s="1"/>
  <c r="M35" i="1"/>
  <c r="T10" i="4" l="1"/>
  <c r="M10" i="4" s="1"/>
  <c r="N35" i="1"/>
  <c r="AA9" i="4" l="1"/>
  <c r="K9" i="4"/>
  <c r="P10" i="4"/>
  <c r="Y10" i="4" s="1"/>
  <c r="AB10" i="4" s="1"/>
  <c r="M36" i="1"/>
  <c r="T11" i="4" l="1"/>
  <c r="M11" i="4" s="1"/>
  <c r="N36" i="1"/>
  <c r="AA10" i="4" l="1"/>
  <c r="K10" i="4"/>
  <c r="P11" i="4"/>
  <c r="Y11" i="4" s="1"/>
  <c r="AB11" i="4" s="1"/>
  <c r="M37" i="1"/>
  <c r="T12" i="4" l="1"/>
  <c r="M12" i="4" s="1"/>
  <c r="N37" i="1"/>
  <c r="AA11" i="4" l="1"/>
  <c r="K11" i="4"/>
  <c r="P12" i="4"/>
  <c r="Y12" i="4" s="1"/>
  <c r="AB12" i="4" s="1"/>
  <c r="M38" i="1"/>
  <c r="T13" i="4" l="1"/>
  <c r="M13" i="4" s="1"/>
  <c r="N38" i="1"/>
  <c r="AA12" i="4" l="1"/>
  <c r="K12" i="4"/>
  <c r="P13" i="4"/>
  <c r="Y13" i="4" s="1"/>
  <c r="AB13" i="4" s="1"/>
  <c r="M39" i="1"/>
  <c r="T14" i="4" l="1"/>
  <c r="M14" i="4" s="1"/>
  <c r="N39" i="1"/>
  <c r="P14" i="4" s="1"/>
  <c r="Y14" i="4" s="1"/>
  <c r="AB14" i="4" s="1"/>
  <c r="K14" i="4" l="1"/>
  <c r="AA14" i="4"/>
  <c r="K13" i="4"/>
  <c r="AA13" i="4"/>
</calcChain>
</file>

<file path=xl/comments1.xml><?xml version="1.0" encoding="utf-8"?>
<comments xmlns="http://schemas.openxmlformats.org/spreadsheetml/2006/main">
  <authors>
    <author>Jan van der Lei</author>
  </authors>
  <commentList>
    <comment ref="AC12" authorId="0">
      <text>
        <r>
          <rPr>
            <b/>
            <sz val="9"/>
            <color indexed="81"/>
            <rFont val="Tahoma"/>
            <family val="2"/>
          </rPr>
          <t>Handmatige bijstelling rentestijging</t>
        </r>
      </text>
    </comment>
    <comment ref="AC13" authorId="0">
      <text>
        <r>
          <rPr>
            <b/>
            <sz val="9"/>
            <color indexed="81"/>
            <rFont val="Tahoma"/>
            <family val="2"/>
          </rPr>
          <t>Handmatige bijstelling rentestijging</t>
        </r>
      </text>
    </comment>
    <comment ref="AC14" authorId="0">
      <text>
        <r>
          <rPr>
            <b/>
            <sz val="9"/>
            <color indexed="81"/>
            <rFont val="Tahoma"/>
            <family val="2"/>
          </rPr>
          <t>Handmatige bijstelling rentestijging</t>
        </r>
      </text>
    </comment>
    <comment ref="AC19" authorId="0">
      <text>
        <r>
          <rPr>
            <b/>
            <sz val="9"/>
            <color indexed="81"/>
            <rFont val="Tahoma"/>
            <family val="2"/>
          </rPr>
          <t>Handmatige bijstelling investeringsruimte</t>
        </r>
      </text>
    </comment>
  </commentList>
</comments>
</file>

<file path=xl/comments2.xml><?xml version="1.0" encoding="utf-8"?>
<comments xmlns="http://schemas.openxmlformats.org/spreadsheetml/2006/main">
  <authors>
    <author>Jan van der Lei</author>
  </authors>
  <commentList>
    <comment ref="Z1" authorId="0">
      <text>
        <r>
          <rPr>
            <b/>
            <sz val="9"/>
            <color indexed="81"/>
            <rFont val="Tahoma"/>
            <family val="2"/>
          </rPr>
          <t>Jan van der Lei:</t>
        </r>
        <r>
          <rPr>
            <sz val="9"/>
            <color indexed="81"/>
            <rFont val="Tahoma"/>
            <family val="2"/>
          </rPr>
          <t xml:space="preserve">
Bron: DNB gemiddelde rente tien jaars staatslening.</t>
        </r>
      </text>
    </comment>
    <comment ref="AA1" authorId="0">
      <text>
        <r>
          <rPr>
            <sz val="9"/>
            <color indexed="81"/>
            <rFont val="Tahoma"/>
            <family val="2"/>
          </rPr>
          <t>spread in overeenkomst BNG is 0,35% -  0,4% t.o.v. Euribor.</t>
        </r>
      </text>
    </comment>
  </commentList>
</comments>
</file>

<file path=xl/comments3.xml><?xml version="1.0" encoding="utf-8"?>
<comments xmlns="http://schemas.openxmlformats.org/spreadsheetml/2006/main">
  <authors>
    <author>Jan van der Lei</author>
  </authors>
  <commentList>
    <comment ref="N13" authorId="0">
      <text>
        <r>
          <rPr>
            <b/>
            <sz val="9"/>
            <color indexed="81"/>
            <rFont val="Tahoma"/>
            <family val="2"/>
          </rPr>
          <t>Jan van der Lei:</t>
        </r>
        <r>
          <rPr>
            <sz val="9"/>
            <color indexed="81"/>
            <rFont val="Tahoma"/>
            <family val="2"/>
          </rPr>
          <t xml:space="preserve">
Invulling inkomstenverhoging 1 / 5 deel belastingverhoging per jaar i.v.m. noemereffect schuldquote.</t>
        </r>
      </text>
    </comment>
    <comment ref="K31" authorId="0">
      <text>
        <r>
          <rPr>
            <b/>
            <sz val="9"/>
            <color indexed="81"/>
            <rFont val="Tahoma"/>
            <family val="2"/>
          </rPr>
          <t>Jan van der Lei:</t>
        </r>
        <r>
          <rPr>
            <sz val="9"/>
            <color indexed="81"/>
            <rFont val="Tahoma"/>
            <family val="2"/>
          </rPr>
          <t xml:space="preserve">
Boven 0,5 ombuigingspotentieel correctie voor opplussen inkomsten met benutting belastingcapaciteit. </t>
        </r>
      </text>
    </comment>
    <comment ref="H41" authorId="0">
      <text>
        <r>
          <rPr>
            <b/>
            <sz val="9"/>
            <color indexed="81"/>
            <rFont val="Tahoma"/>
            <family val="2"/>
          </rPr>
          <t xml:space="preserve">correctie voor berekening juiste groeipercentage uitgaven </t>
        </r>
      </text>
    </comment>
    <comment ref="H60" authorId="0">
      <text>
        <r>
          <rPr>
            <b/>
            <sz val="9"/>
            <color indexed="81"/>
            <rFont val="Tahoma"/>
            <family val="2"/>
          </rPr>
          <t>correctie voor berekening juiste groeipercentage inkomsten</t>
        </r>
      </text>
    </comment>
    <comment ref="H85" authorId="0">
      <text>
        <r>
          <rPr>
            <b/>
            <sz val="9"/>
            <color indexed="81"/>
            <rFont val="Tahoma"/>
            <family val="2"/>
          </rPr>
          <t>Jan van der Lei:</t>
        </r>
        <r>
          <rPr>
            <sz val="9"/>
            <color indexed="81"/>
            <rFont val="Tahoma"/>
            <family val="2"/>
          </rPr>
          <t xml:space="preserve">
half jaar rente over financieringsresulltaat exploitatie exlcusief rente over rente</t>
        </r>
      </text>
    </comment>
    <comment ref="H86" authorId="0">
      <text>
        <r>
          <rPr>
            <b/>
            <sz val="9"/>
            <color indexed="81"/>
            <rFont val="Tahoma"/>
            <family val="2"/>
          </rPr>
          <t>Jan van der Lei:</t>
        </r>
        <r>
          <rPr>
            <sz val="9"/>
            <color indexed="81"/>
            <rFont val="Tahoma"/>
            <family val="2"/>
          </rPr>
          <t xml:space="preserve">
Dit is het renteresultaat over financieringsstroom exploitatie</t>
        </r>
      </text>
    </comment>
    <comment ref="H87" authorId="0">
      <text>
        <r>
          <rPr>
            <b/>
            <sz val="9"/>
            <color indexed="81"/>
            <rFont val="Tahoma"/>
            <family val="2"/>
          </rPr>
          <t>Jan van der Lei:</t>
        </r>
        <r>
          <rPr>
            <sz val="9"/>
            <color indexed="81"/>
            <rFont val="Tahoma"/>
            <family val="2"/>
          </rPr>
          <t xml:space="preserve">
benodigde correctie voor rente over rente. (verwaarloosbare afwijking).
</t>
        </r>
      </text>
    </comment>
    <comment ref="H88" authorId="0">
      <text>
        <r>
          <rPr>
            <b/>
            <sz val="9"/>
            <color indexed="81"/>
            <rFont val="Tahoma"/>
            <family val="2"/>
          </rPr>
          <t>Jan van der Lei:</t>
        </r>
        <r>
          <rPr>
            <sz val="9"/>
            <color indexed="81"/>
            <rFont val="Tahoma"/>
            <family val="2"/>
          </rPr>
          <t xml:space="preserve">
rente over de renteresultaat inkomsten en uitgaven</t>
        </r>
      </text>
    </comment>
    <comment ref="H89" authorId="0">
      <text>
        <r>
          <rPr>
            <b/>
            <sz val="9"/>
            <color indexed="81"/>
            <rFont val="Tahoma"/>
            <family val="2"/>
          </rPr>
          <t>Jan van der Lei:</t>
        </r>
        <r>
          <rPr>
            <sz val="9"/>
            <color indexed="81"/>
            <rFont val="Tahoma"/>
            <family val="2"/>
          </rPr>
          <t xml:space="preserve">
afwijking in procenten</t>
        </r>
      </text>
    </comment>
  </commentList>
</comments>
</file>

<file path=xl/comments4.xml><?xml version="1.0" encoding="utf-8"?>
<comments xmlns="http://schemas.openxmlformats.org/spreadsheetml/2006/main">
  <authors>
    <author>Jan van der Lei</author>
  </authors>
  <commentList>
    <comment ref="H1" authorId="0">
      <text>
        <r>
          <rPr>
            <b/>
            <sz val="9"/>
            <color indexed="81"/>
            <rFont val="Tahoma"/>
            <family val="2"/>
          </rPr>
          <t>Jan van der Lei:</t>
        </r>
        <r>
          <rPr>
            <sz val="9"/>
            <color indexed="81"/>
            <rFont val="Tahoma"/>
            <family val="2"/>
          </rPr>
          <t xml:space="preserve">
CBS bevolkingsontwikkeling per maand; regio
febr 2017</t>
        </r>
      </text>
    </comment>
    <comment ref="O1" authorId="0">
      <text>
        <r>
          <rPr>
            <b/>
            <sz val="9"/>
            <color indexed="81"/>
            <rFont val="Tahoma"/>
            <family val="2"/>
          </rPr>
          <t>Jan van der Lei:</t>
        </r>
        <r>
          <rPr>
            <sz val="9"/>
            <color indexed="81"/>
            <rFont val="Tahoma"/>
            <family val="2"/>
          </rPr>
          <t xml:space="preserve">
CBS regionale bevolkingsprognose 2017-2040 gemeenten 2015 download febr
2017</t>
        </r>
      </text>
    </comment>
    <comment ref="P1" authorId="0">
      <text>
        <r>
          <rPr>
            <b/>
            <sz val="9"/>
            <color indexed="81"/>
            <rFont val="Tahoma"/>
            <family val="2"/>
          </rPr>
          <t>Jan van der Lei:</t>
        </r>
        <r>
          <rPr>
            <sz val="9"/>
            <color indexed="81"/>
            <rFont val="Tahoma"/>
            <family val="2"/>
          </rPr>
          <t xml:space="preserve">
inwoner 31 december 2016</t>
        </r>
      </text>
    </comment>
    <comment ref="H409" authorId="0">
      <text>
        <r>
          <rPr>
            <b/>
            <sz val="9"/>
            <color indexed="81"/>
            <rFont val="Tahoma"/>
            <family val="2"/>
          </rPr>
          <t>Jan van der Lei:</t>
        </r>
        <r>
          <rPr>
            <sz val="9"/>
            <color indexed="81"/>
            <rFont val="Tahoma"/>
            <family val="2"/>
          </rPr>
          <t xml:space="preserve">
CBS bevolkingsontwikkeling per maand; regio
febr 2017</t>
        </r>
      </text>
    </comment>
    <comment ref="O409" authorId="0">
      <text>
        <r>
          <rPr>
            <b/>
            <sz val="9"/>
            <color indexed="81"/>
            <rFont val="Tahoma"/>
            <family val="2"/>
          </rPr>
          <t>Jan van der Lei:</t>
        </r>
        <r>
          <rPr>
            <sz val="9"/>
            <color indexed="81"/>
            <rFont val="Tahoma"/>
            <family val="2"/>
          </rPr>
          <t xml:space="preserve">
CBS regionale bevolkingsprognose 2017-2040 gemeenten 2015 download febr
2017</t>
        </r>
      </text>
    </comment>
    <comment ref="P409" authorId="0">
      <text>
        <r>
          <rPr>
            <b/>
            <sz val="9"/>
            <color indexed="81"/>
            <rFont val="Tahoma"/>
            <family val="2"/>
          </rPr>
          <t>Jan van der Lei:</t>
        </r>
        <r>
          <rPr>
            <sz val="9"/>
            <color indexed="81"/>
            <rFont val="Tahoma"/>
            <family val="2"/>
          </rPr>
          <t xml:space="preserve">
inwoner 31 december 2016</t>
        </r>
      </text>
    </comment>
  </commentList>
</comments>
</file>

<file path=xl/comments5.xml><?xml version="1.0" encoding="utf-8"?>
<comments xmlns="http://schemas.openxmlformats.org/spreadsheetml/2006/main">
  <authors>
    <author>Jan van der Lei</author>
  </authors>
  <commentList>
    <comment ref="C119" authorId="0">
      <text>
        <r>
          <rPr>
            <b/>
            <sz val="9"/>
            <color indexed="81"/>
            <rFont val="Tahoma"/>
            <family val="2"/>
          </rPr>
          <t>Jan van der Lei:</t>
        </r>
        <r>
          <rPr>
            <sz val="9"/>
            <color indexed="81"/>
            <rFont val="Tahoma"/>
            <family val="2"/>
          </rPr>
          <t xml:space="preserve">
tarieven 2015</t>
        </r>
      </text>
    </comment>
    <comment ref="A390" authorId="0">
      <text>
        <r>
          <rPr>
            <b/>
            <sz val="9"/>
            <color indexed="81"/>
            <rFont val="Tahoma"/>
            <family val="2"/>
          </rPr>
          <t>Jan van der Lei:</t>
        </r>
        <r>
          <rPr>
            <sz val="9"/>
            <color indexed="81"/>
            <rFont val="Tahoma"/>
            <family val="2"/>
          </rPr>
          <t xml:space="preserve">
gemiddeld gewogen tarief OZB 2016</t>
        </r>
      </text>
    </comment>
  </commentList>
</comments>
</file>

<file path=xl/comments6.xml><?xml version="1.0" encoding="utf-8"?>
<comments xmlns="http://schemas.openxmlformats.org/spreadsheetml/2006/main">
  <authors>
    <author>Jan van der Lei</author>
  </authors>
  <commentList>
    <comment ref="N1" authorId="0">
      <text>
        <r>
          <rPr>
            <b/>
            <sz val="9"/>
            <color indexed="81"/>
            <rFont val="Tahoma"/>
            <family val="2"/>
          </rPr>
          <t>Jan van der Lei:</t>
        </r>
        <r>
          <rPr>
            <sz val="9"/>
            <color indexed="81"/>
            <rFont val="Tahoma"/>
            <family val="2"/>
          </rPr>
          <t xml:space="preserve">
CBS jaarrekening 2015
opendata febr 2017</t>
        </r>
      </text>
    </comment>
    <comment ref="O1" authorId="0">
      <text>
        <r>
          <rPr>
            <b/>
            <sz val="9"/>
            <color indexed="81"/>
            <rFont val="Tahoma"/>
            <family val="2"/>
          </rPr>
          <t>Jan van der Lei:</t>
        </r>
        <r>
          <rPr>
            <sz val="9"/>
            <color indexed="81"/>
            <rFont val="Tahoma"/>
            <family val="2"/>
          </rPr>
          <t xml:space="preserve">
CBS jaarrekening 2015
opendata febr 2017</t>
        </r>
      </text>
    </comment>
    <comment ref="S1" authorId="0">
      <text>
        <r>
          <rPr>
            <b/>
            <sz val="9"/>
            <color indexed="81"/>
            <rFont val="Tahoma"/>
            <family val="2"/>
          </rPr>
          <t>Jan van der Lei:</t>
        </r>
        <r>
          <rPr>
            <sz val="9"/>
            <color indexed="81"/>
            <rFont val="Tahoma"/>
            <family val="2"/>
          </rPr>
          <t xml:space="preserve">
2013 is 138,66 per inwoner. Dat leidt tot een afschrijvingspercentage van 4,3377%. Dat toegepast op boekwaarde Ned mat activa 2015 en delen door aantal inwoners 2015 leidt tot 143,36 per inwoner.
</t>
        </r>
      </text>
    </comment>
    <comment ref="N32" authorId="0">
      <text>
        <r>
          <rPr>
            <b/>
            <sz val="9"/>
            <color indexed="81"/>
            <rFont val="Tahoma"/>
            <family val="2"/>
          </rPr>
          <t>Jan van der Lei:</t>
        </r>
        <r>
          <rPr>
            <sz val="9"/>
            <color indexed="81"/>
            <rFont val="Tahoma"/>
            <family val="2"/>
          </rPr>
          <t xml:space="preserve">
Alleen Groesbeek in cijfers opendata 2015</t>
        </r>
      </text>
    </comment>
    <comment ref="O32" authorId="0">
      <text>
        <r>
          <rPr>
            <b/>
            <sz val="9"/>
            <color indexed="81"/>
            <rFont val="Tahoma"/>
            <family val="2"/>
          </rPr>
          <t>Jan van der Lei:</t>
        </r>
        <r>
          <rPr>
            <sz val="9"/>
            <color indexed="81"/>
            <rFont val="Tahoma"/>
            <family val="2"/>
          </rPr>
          <t xml:space="preserve">
alleen Groesbeek in cijfers opendata 2015</t>
        </r>
      </text>
    </comment>
    <comment ref="N64" authorId="0">
      <text>
        <r>
          <rPr>
            <b/>
            <sz val="9"/>
            <color indexed="81"/>
            <rFont val="Tahoma"/>
            <family val="2"/>
          </rPr>
          <t>Jan van der Lei:</t>
        </r>
        <r>
          <rPr>
            <sz val="9"/>
            <color indexed="81"/>
            <rFont val="Tahoma"/>
            <family val="2"/>
          </rPr>
          <t xml:space="preserve">
gemeente en cijfer ontbreken in opendata cbs 2015</t>
        </r>
      </text>
    </comment>
    <comment ref="O64" authorId="0">
      <text>
        <r>
          <rPr>
            <b/>
            <sz val="9"/>
            <color indexed="81"/>
            <rFont val="Tahoma"/>
            <family val="2"/>
          </rPr>
          <t>Jan van der Lei:</t>
        </r>
        <r>
          <rPr>
            <sz val="9"/>
            <color indexed="81"/>
            <rFont val="Tahoma"/>
            <family val="2"/>
          </rPr>
          <t xml:space="preserve">
gemeente en cijfer ontbreken in opendata 2015 cbs</t>
        </r>
      </text>
    </comment>
    <comment ref="R141" authorId="0">
      <text>
        <r>
          <rPr>
            <b/>
            <sz val="9"/>
            <color indexed="81"/>
            <rFont val="Tahoma"/>
            <family val="2"/>
          </rPr>
          <t>Jan van der Lei:</t>
        </r>
        <r>
          <rPr>
            <sz val="9"/>
            <color indexed="81"/>
            <rFont val="Tahoma"/>
            <family val="2"/>
          </rPr>
          <t xml:space="preserve">
5742494 + BH
578572</t>
        </r>
      </text>
    </comment>
    <comment ref="N406" authorId="0">
      <text>
        <r>
          <rPr>
            <b/>
            <sz val="9"/>
            <color indexed="81"/>
            <rFont val="Tahoma"/>
            <family val="2"/>
          </rPr>
          <t>Jan van der Lei:</t>
        </r>
        <r>
          <rPr>
            <sz val="9"/>
            <color indexed="81"/>
            <rFont val="Tahoma"/>
            <family val="2"/>
          </rPr>
          <t xml:space="preserve">
CBS jaarrekening 2015
opendata febr 2017</t>
        </r>
      </text>
    </comment>
    <comment ref="O406" authorId="0">
      <text>
        <r>
          <rPr>
            <b/>
            <sz val="9"/>
            <color indexed="81"/>
            <rFont val="Tahoma"/>
            <family val="2"/>
          </rPr>
          <t>Jan van der Lei:</t>
        </r>
        <r>
          <rPr>
            <sz val="9"/>
            <color indexed="81"/>
            <rFont val="Tahoma"/>
            <family val="2"/>
          </rPr>
          <t xml:space="preserve">
CBS jaarrekening 2015
opendata febr 2017</t>
        </r>
      </text>
    </comment>
  </commentList>
</comments>
</file>

<file path=xl/comments7.xml><?xml version="1.0" encoding="utf-8"?>
<comments xmlns="http://schemas.openxmlformats.org/spreadsheetml/2006/main">
  <authors>
    <author>Jan van der Lei</author>
  </authors>
  <commentList>
    <comment ref="C93" authorId="0">
      <text>
        <r>
          <rPr>
            <b/>
            <sz val="9"/>
            <color indexed="81"/>
            <rFont val="Tahoma"/>
            <family val="2"/>
          </rPr>
          <t>Jan van der Lei:</t>
        </r>
        <r>
          <rPr>
            <sz val="9"/>
            <color indexed="81"/>
            <rFont val="Tahoma"/>
            <family val="2"/>
          </rPr>
          <t xml:space="preserve">
heffingen 2015</t>
        </r>
      </text>
    </comment>
    <comment ref="J93" authorId="0">
      <text>
        <r>
          <rPr>
            <b/>
            <sz val="9"/>
            <color indexed="81"/>
            <rFont val="Tahoma"/>
            <family val="2"/>
          </rPr>
          <t>Jan van der Lei:</t>
        </r>
        <r>
          <rPr>
            <sz val="9"/>
            <color indexed="81"/>
            <rFont val="Tahoma"/>
            <family val="2"/>
          </rPr>
          <t xml:space="preserve">
2015</t>
        </r>
      </text>
    </comment>
    <comment ref="K93" authorId="0">
      <text>
        <r>
          <rPr>
            <b/>
            <sz val="9"/>
            <color indexed="81"/>
            <rFont val="Tahoma"/>
            <family val="2"/>
          </rPr>
          <t>Jan van der Lei:</t>
        </r>
        <r>
          <rPr>
            <sz val="9"/>
            <color indexed="81"/>
            <rFont val="Tahoma"/>
            <family val="2"/>
          </rPr>
          <t xml:space="preserve">
2015</t>
        </r>
      </text>
    </comment>
    <comment ref="L93" authorId="0">
      <text>
        <r>
          <rPr>
            <b/>
            <sz val="9"/>
            <color indexed="81"/>
            <rFont val="Tahoma"/>
            <family val="2"/>
          </rPr>
          <t>Jan van der Lei:</t>
        </r>
        <r>
          <rPr>
            <sz val="9"/>
            <color indexed="81"/>
            <rFont val="Tahoma"/>
            <family val="2"/>
          </rPr>
          <t xml:space="preserve">
2015</t>
        </r>
      </text>
    </comment>
    <comment ref="M93" authorId="0">
      <text>
        <r>
          <rPr>
            <b/>
            <sz val="9"/>
            <color indexed="81"/>
            <rFont val="Tahoma"/>
            <family val="2"/>
          </rPr>
          <t>Jan van der Lei:</t>
        </r>
        <r>
          <rPr>
            <sz val="9"/>
            <color indexed="81"/>
            <rFont val="Tahoma"/>
            <family val="2"/>
          </rPr>
          <t xml:space="preserve">
2015</t>
        </r>
      </text>
    </comment>
    <comment ref="N93" authorId="0">
      <text>
        <r>
          <rPr>
            <b/>
            <sz val="9"/>
            <color indexed="81"/>
            <rFont val="Tahoma"/>
            <family val="2"/>
          </rPr>
          <t>Jan van der Lei:</t>
        </r>
        <r>
          <rPr>
            <sz val="9"/>
            <color indexed="81"/>
            <rFont val="Tahoma"/>
            <family val="2"/>
          </rPr>
          <t xml:space="preserve">
2015</t>
        </r>
      </text>
    </comment>
    <comment ref="O93" authorId="0">
      <text>
        <r>
          <rPr>
            <b/>
            <sz val="9"/>
            <color indexed="81"/>
            <rFont val="Tahoma"/>
            <family val="2"/>
          </rPr>
          <t>Jan van der Lei:</t>
        </r>
        <r>
          <rPr>
            <sz val="9"/>
            <color indexed="81"/>
            <rFont val="Tahoma"/>
            <family val="2"/>
          </rPr>
          <t xml:space="preserve">
2015</t>
        </r>
      </text>
    </comment>
    <comment ref="P93" authorId="0">
      <text>
        <r>
          <rPr>
            <b/>
            <sz val="9"/>
            <color indexed="81"/>
            <rFont val="Tahoma"/>
            <family val="2"/>
          </rPr>
          <t>Jan van der Lei:</t>
        </r>
        <r>
          <rPr>
            <sz val="9"/>
            <color indexed="81"/>
            <rFont val="Tahoma"/>
            <family val="2"/>
          </rPr>
          <t xml:space="preserve">
2015</t>
        </r>
      </text>
    </comment>
    <comment ref="Q93" authorId="0">
      <text>
        <r>
          <rPr>
            <b/>
            <sz val="9"/>
            <color indexed="81"/>
            <rFont val="Tahoma"/>
            <family val="2"/>
          </rPr>
          <t>Jan van der Lei:</t>
        </r>
        <r>
          <rPr>
            <sz val="9"/>
            <color indexed="81"/>
            <rFont val="Tahoma"/>
            <family val="2"/>
          </rPr>
          <t xml:space="preserve">
2015</t>
        </r>
      </text>
    </comment>
    <comment ref="R93" authorId="0">
      <text>
        <r>
          <rPr>
            <b/>
            <sz val="9"/>
            <color indexed="81"/>
            <rFont val="Tahoma"/>
            <family val="2"/>
          </rPr>
          <t>Jan van der Lei:</t>
        </r>
        <r>
          <rPr>
            <sz val="9"/>
            <color indexed="81"/>
            <rFont val="Tahoma"/>
            <family val="2"/>
          </rPr>
          <t xml:space="preserve">
2015</t>
        </r>
      </text>
    </comment>
    <comment ref="S93" authorId="0">
      <text>
        <r>
          <rPr>
            <b/>
            <sz val="9"/>
            <color indexed="81"/>
            <rFont val="Tahoma"/>
            <family val="2"/>
          </rPr>
          <t>Jan van der Lei:</t>
        </r>
        <r>
          <rPr>
            <sz val="9"/>
            <color indexed="81"/>
            <rFont val="Tahoma"/>
            <family val="2"/>
          </rPr>
          <t xml:space="preserve">
2015</t>
        </r>
      </text>
    </comment>
    <comment ref="T93" authorId="0">
      <text>
        <r>
          <rPr>
            <b/>
            <sz val="9"/>
            <color indexed="81"/>
            <rFont val="Tahoma"/>
            <family val="2"/>
          </rPr>
          <t>Jan van der Lei:</t>
        </r>
        <r>
          <rPr>
            <sz val="9"/>
            <color indexed="81"/>
            <rFont val="Tahoma"/>
            <family val="2"/>
          </rPr>
          <t xml:space="preserve">
2015</t>
        </r>
      </text>
    </comment>
    <comment ref="U93" authorId="0">
      <text>
        <r>
          <rPr>
            <b/>
            <sz val="9"/>
            <color indexed="81"/>
            <rFont val="Tahoma"/>
            <family val="2"/>
          </rPr>
          <t>Jan van der Lei:</t>
        </r>
        <r>
          <rPr>
            <sz val="9"/>
            <color indexed="81"/>
            <rFont val="Tahoma"/>
            <family val="2"/>
          </rPr>
          <t xml:space="preserve">
2015</t>
        </r>
      </text>
    </comment>
    <comment ref="V93" authorId="0">
      <text>
        <r>
          <rPr>
            <b/>
            <sz val="9"/>
            <color indexed="81"/>
            <rFont val="Tahoma"/>
            <family val="2"/>
          </rPr>
          <t>Jan van der Lei:</t>
        </r>
        <r>
          <rPr>
            <sz val="9"/>
            <color indexed="81"/>
            <rFont val="Tahoma"/>
            <family val="2"/>
          </rPr>
          <t xml:space="preserve">
2015</t>
        </r>
      </text>
    </comment>
    <comment ref="W93" authorId="0">
      <text>
        <r>
          <rPr>
            <b/>
            <sz val="9"/>
            <color indexed="81"/>
            <rFont val="Tahoma"/>
            <family val="2"/>
          </rPr>
          <t>Jan van der Lei:</t>
        </r>
        <r>
          <rPr>
            <sz val="9"/>
            <color indexed="81"/>
            <rFont val="Tahoma"/>
            <family val="2"/>
          </rPr>
          <t xml:space="preserve">
2015</t>
        </r>
      </text>
    </comment>
    <comment ref="X93" authorId="0">
      <text>
        <r>
          <rPr>
            <b/>
            <sz val="9"/>
            <color indexed="81"/>
            <rFont val="Tahoma"/>
            <family val="2"/>
          </rPr>
          <t>Jan van der Lei:</t>
        </r>
        <r>
          <rPr>
            <sz val="9"/>
            <color indexed="81"/>
            <rFont val="Tahoma"/>
            <family val="2"/>
          </rPr>
          <t xml:space="preserve">
2015</t>
        </r>
      </text>
    </comment>
    <comment ref="Y93" authorId="0">
      <text>
        <r>
          <rPr>
            <b/>
            <sz val="9"/>
            <color indexed="81"/>
            <rFont val="Tahoma"/>
            <family val="2"/>
          </rPr>
          <t>Jan van der Lei:</t>
        </r>
        <r>
          <rPr>
            <sz val="9"/>
            <color indexed="81"/>
            <rFont val="Tahoma"/>
            <family val="2"/>
          </rPr>
          <t xml:space="preserve">
2015</t>
        </r>
      </text>
    </comment>
    <comment ref="AD93" authorId="0">
      <text>
        <r>
          <rPr>
            <b/>
            <sz val="9"/>
            <color indexed="81"/>
            <rFont val="Tahoma"/>
            <family val="2"/>
          </rPr>
          <t>Jan van der Lei:</t>
        </r>
        <r>
          <rPr>
            <sz val="9"/>
            <color indexed="81"/>
            <rFont val="Tahoma"/>
            <family val="2"/>
          </rPr>
          <t xml:space="preserve">
heffingen 2015</t>
        </r>
      </text>
    </comment>
    <comment ref="C119" authorId="0">
      <text>
        <r>
          <rPr>
            <b/>
            <sz val="9"/>
            <color indexed="81"/>
            <rFont val="Tahoma"/>
            <family val="2"/>
          </rPr>
          <t>Jan van der Lei:</t>
        </r>
        <r>
          <rPr>
            <sz val="9"/>
            <color indexed="81"/>
            <rFont val="Tahoma"/>
            <family val="2"/>
          </rPr>
          <t xml:space="preserve">
heffingen 2015</t>
        </r>
      </text>
    </comment>
    <comment ref="J119" authorId="0">
      <text>
        <r>
          <rPr>
            <b/>
            <sz val="9"/>
            <color indexed="81"/>
            <rFont val="Tahoma"/>
            <family val="2"/>
          </rPr>
          <t>Jan van der Lei:</t>
        </r>
        <r>
          <rPr>
            <sz val="9"/>
            <color indexed="81"/>
            <rFont val="Tahoma"/>
            <family val="2"/>
          </rPr>
          <t xml:space="preserve">
2015</t>
        </r>
      </text>
    </comment>
    <comment ref="K119" authorId="0">
      <text>
        <r>
          <rPr>
            <b/>
            <sz val="9"/>
            <color indexed="81"/>
            <rFont val="Tahoma"/>
            <family val="2"/>
          </rPr>
          <t>Jan van der Lei:</t>
        </r>
        <r>
          <rPr>
            <sz val="9"/>
            <color indexed="81"/>
            <rFont val="Tahoma"/>
            <family val="2"/>
          </rPr>
          <t xml:space="preserve">
2015</t>
        </r>
      </text>
    </comment>
    <comment ref="L119" authorId="0">
      <text>
        <r>
          <rPr>
            <b/>
            <sz val="9"/>
            <color indexed="81"/>
            <rFont val="Tahoma"/>
            <family val="2"/>
          </rPr>
          <t>Jan van der Lei:</t>
        </r>
        <r>
          <rPr>
            <sz val="9"/>
            <color indexed="81"/>
            <rFont val="Tahoma"/>
            <family val="2"/>
          </rPr>
          <t xml:space="preserve">
2015</t>
        </r>
      </text>
    </comment>
    <comment ref="M119" authorId="0">
      <text>
        <r>
          <rPr>
            <b/>
            <sz val="9"/>
            <color indexed="81"/>
            <rFont val="Tahoma"/>
            <family val="2"/>
          </rPr>
          <t>Jan van der Lei:</t>
        </r>
        <r>
          <rPr>
            <sz val="9"/>
            <color indexed="81"/>
            <rFont val="Tahoma"/>
            <family val="2"/>
          </rPr>
          <t xml:space="preserve">
2015</t>
        </r>
      </text>
    </comment>
    <comment ref="N119" authorId="0">
      <text>
        <r>
          <rPr>
            <b/>
            <sz val="9"/>
            <color indexed="81"/>
            <rFont val="Tahoma"/>
            <family val="2"/>
          </rPr>
          <t>Jan van der Lei:</t>
        </r>
        <r>
          <rPr>
            <sz val="9"/>
            <color indexed="81"/>
            <rFont val="Tahoma"/>
            <family val="2"/>
          </rPr>
          <t xml:space="preserve">
2015</t>
        </r>
      </text>
    </comment>
    <comment ref="O119" authorId="0">
      <text>
        <r>
          <rPr>
            <b/>
            <sz val="9"/>
            <color indexed="81"/>
            <rFont val="Tahoma"/>
            <family val="2"/>
          </rPr>
          <t>Jan van der Lei:</t>
        </r>
        <r>
          <rPr>
            <sz val="9"/>
            <color indexed="81"/>
            <rFont val="Tahoma"/>
            <family val="2"/>
          </rPr>
          <t xml:space="preserve">
2015</t>
        </r>
      </text>
    </comment>
    <comment ref="P119" authorId="0">
      <text>
        <r>
          <rPr>
            <b/>
            <sz val="9"/>
            <color indexed="81"/>
            <rFont val="Tahoma"/>
            <family val="2"/>
          </rPr>
          <t>Jan van der Lei:</t>
        </r>
        <r>
          <rPr>
            <sz val="9"/>
            <color indexed="81"/>
            <rFont val="Tahoma"/>
            <family val="2"/>
          </rPr>
          <t xml:space="preserve">
2015</t>
        </r>
      </text>
    </comment>
    <comment ref="Q119" authorId="0">
      <text>
        <r>
          <rPr>
            <b/>
            <sz val="9"/>
            <color indexed="81"/>
            <rFont val="Tahoma"/>
            <family val="2"/>
          </rPr>
          <t>Jan van der Lei:</t>
        </r>
        <r>
          <rPr>
            <sz val="9"/>
            <color indexed="81"/>
            <rFont val="Tahoma"/>
            <family val="2"/>
          </rPr>
          <t xml:space="preserve">
2015</t>
        </r>
      </text>
    </comment>
    <comment ref="R119" authorId="0">
      <text>
        <r>
          <rPr>
            <b/>
            <sz val="9"/>
            <color indexed="81"/>
            <rFont val="Tahoma"/>
            <family val="2"/>
          </rPr>
          <t>Jan van der Lei:</t>
        </r>
        <r>
          <rPr>
            <sz val="9"/>
            <color indexed="81"/>
            <rFont val="Tahoma"/>
            <family val="2"/>
          </rPr>
          <t xml:space="preserve">
2015</t>
        </r>
      </text>
    </comment>
    <comment ref="S119" authorId="0">
      <text>
        <r>
          <rPr>
            <b/>
            <sz val="9"/>
            <color indexed="81"/>
            <rFont val="Tahoma"/>
            <family val="2"/>
          </rPr>
          <t>Jan van der Lei:</t>
        </r>
        <r>
          <rPr>
            <sz val="9"/>
            <color indexed="81"/>
            <rFont val="Tahoma"/>
            <family val="2"/>
          </rPr>
          <t xml:space="preserve">
2015</t>
        </r>
      </text>
    </comment>
    <comment ref="T119" authorId="0">
      <text>
        <r>
          <rPr>
            <b/>
            <sz val="9"/>
            <color indexed="81"/>
            <rFont val="Tahoma"/>
            <family val="2"/>
          </rPr>
          <t>Jan van der Lei:</t>
        </r>
        <r>
          <rPr>
            <sz val="9"/>
            <color indexed="81"/>
            <rFont val="Tahoma"/>
            <family val="2"/>
          </rPr>
          <t xml:space="preserve">
2015</t>
        </r>
      </text>
    </comment>
    <comment ref="U119" authorId="0">
      <text>
        <r>
          <rPr>
            <b/>
            <sz val="9"/>
            <color indexed="81"/>
            <rFont val="Tahoma"/>
            <family val="2"/>
          </rPr>
          <t>Jan van der Lei:</t>
        </r>
        <r>
          <rPr>
            <sz val="9"/>
            <color indexed="81"/>
            <rFont val="Tahoma"/>
            <family val="2"/>
          </rPr>
          <t xml:space="preserve">
2015</t>
        </r>
      </text>
    </comment>
    <comment ref="V119" authorId="0">
      <text>
        <r>
          <rPr>
            <b/>
            <sz val="9"/>
            <color indexed="81"/>
            <rFont val="Tahoma"/>
            <family val="2"/>
          </rPr>
          <t>Jan van der Lei:</t>
        </r>
        <r>
          <rPr>
            <sz val="9"/>
            <color indexed="81"/>
            <rFont val="Tahoma"/>
            <family val="2"/>
          </rPr>
          <t xml:space="preserve">
2015</t>
        </r>
      </text>
    </comment>
    <comment ref="W119" authorId="0">
      <text>
        <r>
          <rPr>
            <b/>
            <sz val="9"/>
            <color indexed="81"/>
            <rFont val="Tahoma"/>
            <family val="2"/>
          </rPr>
          <t>Jan van der Lei:</t>
        </r>
        <r>
          <rPr>
            <sz val="9"/>
            <color indexed="81"/>
            <rFont val="Tahoma"/>
            <family val="2"/>
          </rPr>
          <t xml:space="preserve">
2015</t>
        </r>
      </text>
    </comment>
    <comment ref="X119" authorId="0">
      <text>
        <r>
          <rPr>
            <b/>
            <sz val="9"/>
            <color indexed="81"/>
            <rFont val="Tahoma"/>
            <family val="2"/>
          </rPr>
          <t>Jan van der Lei:</t>
        </r>
        <r>
          <rPr>
            <sz val="9"/>
            <color indexed="81"/>
            <rFont val="Tahoma"/>
            <family val="2"/>
          </rPr>
          <t xml:space="preserve">
2015</t>
        </r>
      </text>
    </comment>
    <comment ref="Y119" authorId="0">
      <text>
        <r>
          <rPr>
            <b/>
            <sz val="9"/>
            <color indexed="81"/>
            <rFont val="Tahoma"/>
            <family val="2"/>
          </rPr>
          <t>Jan van der Lei:</t>
        </r>
        <r>
          <rPr>
            <sz val="9"/>
            <color indexed="81"/>
            <rFont val="Tahoma"/>
            <family val="2"/>
          </rPr>
          <t xml:space="preserve">
2015</t>
        </r>
      </text>
    </comment>
    <comment ref="AD119" authorId="0">
      <text>
        <r>
          <rPr>
            <b/>
            <sz val="9"/>
            <color indexed="81"/>
            <rFont val="Tahoma"/>
            <family val="2"/>
          </rPr>
          <t>Jan van der Lei:</t>
        </r>
        <r>
          <rPr>
            <sz val="9"/>
            <color indexed="81"/>
            <rFont val="Tahoma"/>
            <family val="2"/>
          </rPr>
          <t xml:space="preserve">
heffingen 2015</t>
        </r>
      </text>
    </comment>
  </commentList>
</comments>
</file>

<file path=xl/sharedStrings.xml><?xml version="1.0" encoding="utf-8"?>
<sst xmlns="http://schemas.openxmlformats.org/spreadsheetml/2006/main" count="5869" uniqueCount="928">
  <si>
    <t>Groeivoeten</t>
  </si>
  <si>
    <t>Inflatie</t>
  </si>
  <si>
    <t>Loonstijging</t>
  </si>
  <si>
    <t>Rente</t>
  </si>
  <si>
    <t>a.</t>
  </si>
  <si>
    <t>b.</t>
  </si>
  <si>
    <t>c.</t>
  </si>
  <si>
    <t>Totaal a.</t>
  </si>
  <si>
    <t>Totaal b.</t>
  </si>
  <si>
    <t>Totaal c.</t>
  </si>
  <si>
    <t>d.</t>
  </si>
  <si>
    <t>Totaal d.</t>
  </si>
  <si>
    <t>e.</t>
  </si>
  <si>
    <t>Totaal e.</t>
  </si>
  <si>
    <t>f.</t>
  </si>
  <si>
    <t>g.</t>
  </si>
  <si>
    <t>Totaal f.</t>
  </si>
  <si>
    <t>Totaal g.</t>
  </si>
  <si>
    <t>Groei inwoners Nederland</t>
  </si>
  <si>
    <t>Groeivoet totale inkomsten</t>
  </si>
  <si>
    <t>h.</t>
  </si>
  <si>
    <t>Totaal h.</t>
  </si>
  <si>
    <t>Inkomsten</t>
  </si>
  <si>
    <t>Jaar</t>
  </si>
  <si>
    <t>Uitgaven</t>
  </si>
  <si>
    <t>Groei inwoners gemeente</t>
  </si>
  <si>
    <t>Rente 10 jaar lening</t>
  </si>
  <si>
    <t>Kapitaalverstrekkingen</t>
  </si>
  <si>
    <t>Overige voorraden</t>
  </si>
  <si>
    <t>Overlopende activa</t>
  </si>
  <si>
    <t>Overlopende passiva</t>
  </si>
  <si>
    <t>Slechtweerscenario</t>
  </si>
  <si>
    <t>Kortlopende schuld</t>
  </si>
  <si>
    <t xml:space="preserve">Rente 1 jaarslening </t>
  </si>
  <si>
    <t>Investering 2020</t>
  </si>
  <si>
    <t>Investering 2021</t>
  </si>
  <si>
    <t>Investering 2022</t>
  </si>
  <si>
    <t xml:space="preserve">Rente doorgeleend geld </t>
  </si>
  <si>
    <t>Crediteuren</t>
  </si>
  <si>
    <t>Leningen aan verbonden partijen oud</t>
  </si>
  <si>
    <t>Langlopende leningen derden oud</t>
  </si>
  <si>
    <t>Langlopende uitzettingen oud</t>
  </si>
  <si>
    <t>Onderhandse leningen oud</t>
  </si>
  <si>
    <t>Overige vaste schuld oud</t>
  </si>
  <si>
    <t>Rente liquide middelen</t>
  </si>
  <si>
    <t>Leningen derden nieuw</t>
  </si>
  <si>
    <t>Herfinanciering nieuw</t>
  </si>
  <si>
    <t xml:space="preserve">Netto financiering </t>
  </si>
  <si>
    <t>Rente financiering</t>
  </si>
  <si>
    <t>Percentage</t>
  </si>
  <si>
    <t>Afschrijving leningen derden</t>
  </si>
  <si>
    <t xml:space="preserve">Afschrijving leningen verbonden partijen </t>
  </si>
  <si>
    <t>Ombuigingen</t>
  </si>
  <si>
    <t>Financieringsresultaat exploitatie met schok</t>
  </si>
  <si>
    <t>Netto financieringsresultaat</t>
  </si>
  <si>
    <t xml:space="preserve">Ombuigingsrelevante uitgaven </t>
  </si>
  <si>
    <t>Ombuigingspotentieel</t>
  </si>
  <si>
    <t xml:space="preserve">Effectiviteit pol.&amp; org. </t>
  </si>
  <si>
    <t>Financieringsresultaat expl.</t>
  </si>
  <si>
    <t>Netto financiering</t>
  </si>
  <si>
    <t>Opbrengst verkoop 2017</t>
  </si>
  <si>
    <t>Opbrengst verkoop 2018</t>
  </si>
  <si>
    <t>Opbrengst verkoop 2019</t>
  </si>
  <si>
    <t>Opbrengst verkoop 2020</t>
  </si>
  <si>
    <t>Opbrengst verkoop 2021</t>
  </si>
  <si>
    <t>Opbrengst verkoop 2022</t>
  </si>
  <si>
    <t>Balans netto financiering en financieringsresultaat met schok</t>
  </si>
  <si>
    <t>Netto schuldquote</t>
  </si>
  <si>
    <t>Doorgeleend geld</t>
  </si>
  <si>
    <t>Financiering bezit normaal</t>
  </si>
  <si>
    <t>Financiering bezit met schok</t>
  </si>
  <si>
    <t>Fin.result.financiering</t>
  </si>
  <si>
    <t>Fin.result.bezit</t>
  </si>
  <si>
    <t>Groei inwoners Ned.</t>
  </si>
  <si>
    <t xml:space="preserve">Groei inwoners gemeente </t>
  </si>
  <si>
    <t>Fin.expl.</t>
  </si>
  <si>
    <t>Fin.bezit</t>
  </si>
  <si>
    <t xml:space="preserve">Fin.finan. </t>
  </si>
  <si>
    <t xml:space="preserve">Inwonergevoeligheid Alg.Uitk. </t>
  </si>
  <si>
    <t>©</t>
  </si>
  <si>
    <t>Groei bedrijfsvestigingen</t>
  </si>
  <si>
    <t>Algemene uitkering</t>
  </si>
  <si>
    <t>Onroerende zaak belasting woningen</t>
  </si>
  <si>
    <t>Afvalstoffenheffing</t>
  </si>
  <si>
    <t>Rioolheffing</t>
  </si>
  <si>
    <t>Forensenbelasting</t>
  </si>
  <si>
    <t>Integratieuitkering wmo</t>
  </si>
  <si>
    <t>Secretarieleges</t>
  </si>
  <si>
    <t>Bouwleges</t>
  </si>
  <si>
    <t>Grafrechten</t>
  </si>
  <si>
    <t>i.</t>
  </si>
  <si>
    <t>Totaal i.</t>
  </si>
  <si>
    <t>Toeristenbelasting</t>
  </si>
  <si>
    <t>Marktgelden</t>
  </si>
  <si>
    <t>Sportcomplexen</t>
  </si>
  <si>
    <t>Hondenbelasting</t>
  </si>
  <si>
    <t>Loonkosten</t>
  </si>
  <si>
    <t xml:space="preserve">Groei inkomsten is gelijk aan inflatie &amp; economische groei &amp; groei bedrijfsvestigingen </t>
  </si>
  <si>
    <t xml:space="preserve">Groei inkomsten is gelijk aan 0,2 * inflatie &amp; 0,8 * loonstijging &amp; groei inwoners </t>
  </si>
  <si>
    <t xml:space="preserve">Groei inkomsten is gelijk aan inflatie &amp; economische groei </t>
  </si>
  <si>
    <t xml:space="preserve">Groei inkomsten is gelijk aan inflatie &amp; groei inwoners  </t>
  </si>
  <si>
    <t>Groei inkomsten is gelijk aan loonstijging &amp; groei inwoners</t>
  </si>
  <si>
    <t>Groei inkomsten is gelijk aan 0,5 * inflatie &amp; 0,5 * loonstijging &amp; groei inwoners</t>
  </si>
  <si>
    <t xml:space="preserve">Groei uitgaven is gelijk aan 0,2 * inflatie &amp; 0,8 * loonstijging &amp; groei inwoners </t>
  </si>
  <si>
    <t>Groei uitgaven is gelijk aan inflatie &amp; groei inwoners</t>
  </si>
  <si>
    <t>Specifieke uitkeringen onderwijs</t>
  </si>
  <si>
    <t>Overige vergunningen</t>
  </si>
  <si>
    <t xml:space="preserve">Groei uitgaven is gelijk aan inflatie &amp; economische groei </t>
  </si>
  <si>
    <t>Uitkeringen bijstand inclusief BBZ</t>
  </si>
  <si>
    <t>Uitleenquote</t>
  </si>
  <si>
    <t>Solvabiliteitsratio</t>
  </si>
  <si>
    <t>Inwoners</t>
  </si>
  <si>
    <t>Gemeente</t>
  </si>
  <si>
    <r>
      <t xml:space="preserve">Inkomsten uit gewone exploitatie </t>
    </r>
    <r>
      <rPr>
        <sz val="10"/>
        <color theme="1"/>
        <rFont val="Arial"/>
        <family val="2"/>
      </rPr>
      <t>(exclusief rente en voor bestemming reserves)</t>
    </r>
  </si>
  <si>
    <r>
      <t xml:space="preserve">Uitgaven uit gewone exploitatie </t>
    </r>
    <r>
      <rPr>
        <sz val="10"/>
        <color theme="1"/>
        <rFont val="Arial"/>
        <family val="2"/>
      </rPr>
      <t>(exclusief afschrijvingen, rente en voor bestemming reserves)</t>
    </r>
  </si>
  <si>
    <t>Schuldratio</t>
  </si>
  <si>
    <t>Inwonergevoeligheid Alg.Uitk.</t>
  </si>
  <si>
    <t xml:space="preserve">In euro </t>
  </si>
  <si>
    <t>Huren &amp; pachten</t>
  </si>
  <si>
    <t xml:space="preserve">Groei inkomsten is gelijk aan 0,8 * inflatie &amp; 0,2 * loonstijging &amp; groei inwoners </t>
  </si>
  <si>
    <t xml:space="preserve">Groei uitgaven is gelijk aan loonstijging &amp; groei inwonertal </t>
  </si>
  <si>
    <t>Rente-inkomsten uitzettingen</t>
  </si>
  <si>
    <t>Fin.resultaat bezit</t>
  </si>
  <si>
    <t>Parkeerbelasting</t>
  </si>
  <si>
    <t>Investeringen</t>
  </si>
  <si>
    <t>Financieringstructuur</t>
  </si>
  <si>
    <t>Kort lopende vorderingen</t>
  </si>
  <si>
    <t>Liquide middelen &amp; uitzettingen kort</t>
  </si>
  <si>
    <t>Overige specifieke uitkeringen</t>
  </si>
  <si>
    <t>Rente kortlopende schuld</t>
  </si>
  <si>
    <t>Houdbaarheidstest gemeentefinanciën</t>
  </si>
  <si>
    <t>Precario</t>
  </si>
  <si>
    <t>Reclamebelasting</t>
  </si>
  <si>
    <t>Inhuur derden</t>
  </si>
  <si>
    <t>Dividend</t>
  </si>
  <si>
    <t>Houdbaarheidstest gemeentefinancien</t>
  </si>
  <si>
    <t>Kaptaalverstrekkingen</t>
  </si>
  <si>
    <t>Leningen aan verbonden partijen</t>
  </si>
  <si>
    <t>Leningen aan derden</t>
  </si>
  <si>
    <t>Langlopende uitzettingen</t>
  </si>
  <si>
    <t>Kortlopende vorderingen</t>
  </si>
  <si>
    <t>Balanstotaal</t>
  </si>
  <si>
    <t>Debet</t>
  </si>
  <si>
    <t>Credit</t>
  </si>
  <si>
    <t>Investering 2023</t>
  </si>
  <si>
    <t>Opbrengst verkoop 2023</t>
  </si>
  <si>
    <t>Groei bedrijfsvestigingen per jaar</t>
  </si>
  <si>
    <t>Rentekosten leningen</t>
  </si>
  <si>
    <t>Eind</t>
  </si>
  <si>
    <t>Rentekosten</t>
  </si>
  <si>
    <t>Lopende uitgaven</t>
  </si>
  <si>
    <t>excl. bouwgrondexpl.</t>
  </si>
  <si>
    <t>incl. bouwgrondexpl.</t>
  </si>
  <si>
    <t>Scenario</t>
  </si>
  <si>
    <t>Nieuwe leningen verbonden partijen</t>
  </si>
  <si>
    <t>Nieuwe leningen aan derden</t>
  </si>
  <si>
    <t>Rente 10 jaar staatslening</t>
  </si>
  <si>
    <t>Rente uitgeleend</t>
  </si>
  <si>
    <t>Rente langlopende lening</t>
  </si>
  <si>
    <t>jaar</t>
  </si>
  <si>
    <t>looptijd</t>
  </si>
  <si>
    <t>Aa en Hunze</t>
  </si>
  <si>
    <t>Assen</t>
  </si>
  <si>
    <t>Borger-Odoorn</t>
  </si>
  <si>
    <t>Coevorden</t>
  </si>
  <si>
    <t>Emmen</t>
  </si>
  <si>
    <t>Hoogeveen</t>
  </si>
  <si>
    <t>Meppel</t>
  </si>
  <si>
    <t>Midden-Drenthe</t>
  </si>
  <si>
    <t>Noordenveld</t>
  </si>
  <si>
    <t>Tynaarlo</t>
  </si>
  <si>
    <t>Westerveld</t>
  </si>
  <si>
    <t>De Wolden</t>
  </si>
  <si>
    <t>Midden</t>
  </si>
  <si>
    <t>Appingedam</t>
  </si>
  <si>
    <t>Bedum</t>
  </si>
  <si>
    <t>Bellingwedde</t>
  </si>
  <si>
    <t>De Marne</t>
  </si>
  <si>
    <t>Delfzijl</t>
  </si>
  <si>
    <t>Eemsmond</t>
  </si>
  <si>
    <t>Groningen</t>
  </si>
  <si>
    <t>Grootegast</t>
  </si>
  <si>
    <t>Haren</t>
  </si>
  <si>
    <t>Hoogezand-Sappemeer</t>
  </si>
  <si>
    <t>Leek</t>
  </si>
  <si>
    <t>Loppersum</t>
  </si>
  <si>
    <t>Marum</t>
  </si>
  <si>
    <t>Menterwolde</t>
  </si>
  <si>
    <t>Oldambt</t>
  </si>
  <si>
    <t>Pekela</t>
  </si>
  <si>
    <t>Slochteren</t>
  </si>
  <si>
    <t>Stadskanaal</t>
  </si>
  <si>
    <t>Ten Boer</t>
  </si>
  <si>
    <t>Veendam</t>
  </si>
  <si>
    <t>Vlagtwedde</t>
  </si>
  <si>
    <t>Winsum</t>
  </si>
  <si>
    <t>Zuidhorn</t>
  </si>
  <si>
    <t>Achtkarspelen</t>
  </si>
  <si>
    <t>Ameland</t>
  </si>
  <si>
    <t>Dantumadiel</t>
  </si>
  <si>
    <t>Dongeradeel</t>
  </si>
  <si>
    <t>Ferwerderadiel</t>
  </si>
  <si>
    <t>Franekeradeel</t>
  </si>
  <si>
    <t>Harlingen</t>
  </si>
  <si>
    <t>Heerenveen</t>
  </si>
  <si>
    <t>Leeuwarden</t>
  </si>
  <si>
    <t>Leeuwarderadeel</t>
  </si>
  <si>
    <t>Littenseradiel</t>
  </si>
  <si>
    <t>Menameradiel</t>
  </si>
  <si>
    <t>Ooststellingwerf</t>
  </si>
  <si>
    <t>Opsterland</t>
  </si>
  <si>
    <t>Schiermonnikoog</t>
  </si>
  <si>
    <t>Smallingerland</t>
  </si>
  <si>
    <t>Terschelling</t>
  </si>
  <si>
    <t>Tytsjerksteradiel</t>
  </si>
  <si>
    <t>Vlieland</t>
  </si>
  <si>
    <t>Weststellingwerf</t>
  </si>
  <si>
    <t>Almelo</t>
  </si>
  <si>
    <t>Borne</t>
  </si>
  <si>
    <t>Dalfsen</t>
  </si>
  <si>
    <t>Deventer</t>
  </si>
  <si>
    <t>Dinkelland</t>
  </si>
  <si>
    <t>Enschede</t>
  </si>
  <si>
    <t>Haaksbergen</t>
  </si>
  <si>
    <t>Hardenberg</t>
  </si>
  <si>
    <t>Hellendoorn</t>
  </si>
  <si>
    <t>Hof van Twente</t>
  </si>
  <si>
    <t>Kampen</t>
  </si>
  <si>
    <t>Losser</t>
  </si>
  <si>
    <t>Oldenzaal</t>
  </si>
  <si>
    <t>Olst-Wijhe</t>
  </si>
  <si>
    <t>Ommen</t>
  </si>
  <si>
    <t>Raalte</t>
  </si>
  <si>
    <t>Rijssen-Holten</t>
  </si>
  <si>
    <t>Staphorst</t>
  </si>
  <si>
    <t>Steenwijkerland</t>
  </si>
  <si>
    <t>Tubbergen</t>
  </si>
  <si>
    <t>Twenterand</t>
  </si>
  <si>
    <t>Wierden</t>
  </si>
  <si>
    <t>Zwartewaterland</t>
  </si>
  <si>
    <t>Zwolle</t>
  </si>
  <si>
    <t>Aalten</t>
  </si>
  <si>
    <t>Apeldoorn</t>
  </si>
  <si>
    <t>Arnhem</t>
  </si>
  <si>
    <t>Barneveld</t>
  </si>
  <si>
    <t>Berkelland</t>
  </si>
  <si>
    <t>Beuningen</t>
  </si>
  <si>
    <t>Bronckhorst</t>
  </si>
  <si>
    <t>Brummen</t>
  </si>
  <si>
    <t>Buren</t>
  </si>
  <si>
    <t>Culemborg</t>
  </si>
  <si>
    <t>Doesburg</t>
  </si>
  <si>
    <t>Doetinchem</t>
  </si>
  <si>
    <t>Druten</t>
  </si>
  <si>
    <t>Duiven</t>
  </si>
  <si>
    <t>Ede</t>
  </si>
  <si>
    <t>Elburg</t>
  </si>
  <si>
    <t>Epe</t>
  </si>
  <si>
    <t>Ermelo</t>
  </si>
  <si>
    <t>Geldermalsen</t>
  </si>
  <si>
    <t>Harderwijk</t>
  </si>
  <si>
    <t>Hattem</t>
  </si>
  <si>
    <t>Heerde</t>
  </si>
  <si>
    <t>Heumen</t>
  </si>
  <si>
    <t>Lingewaal</t>
  </si>
  <si>
    <t>Lingewaard</t>
  </si>
  <si>
    <t>Lochem</t>
  </si>
  <si>
    <t>Maasdriel</t>
  </si>
  <si>
    <t>Montferland</t>
  </si>
  <si>
    <t>Neder-Betuwe</t>
  </si>
  <si>
    <t>Neerijnen</t>
  </si>
  <si>
    <t>Nijkerk</t>
  </si>
  <si>
    <t>Nijmegen</t>
  </si>
  <si>
    <t>Nunspeet</t>
  </si>
  <si>
    <t>Oldebroek</t>
  </si>
  <si>
    <t>Oost Gelre</t>
  </si>
  <si>
    <t>Oude IJsselstreek</t>
  </si>
  <si>
    <t>Overbetuwe</t>
  </si>
  <si>
    <t>Putten</t>
  </si>
  <si>
    <t>Renkum</t>
  </si>
  <si>
    <t>Rheden</t>
  </si>
  <si>
    <t>Rijnwaarden</t>
  </si>
  <si>
    <t>Rozendaal</t>
  </si>
  <si>
    <t>Scherpenzeel</t>
  </si>
  <si>
    <t>Tiel</t>
  </si>
  <si>
    <t>Voorst</t>
  </si>
  <si>
    <t>Wageningen</t>
  </si>
  <si>
    <t>West Maas en Waal</t>
  </si>
  <si>
    <t>Westervoort</t>
  </si>
  <si>
    <t>Wijchen</t>
  </si>
  <si>
    <t>Winterswijk</t>
  </si>
  <si>
    <t>Zaltbommel</t>
  </si>
  <si>
    <t>Zevenaar</t>
  </si>
  <si>
    <t>Zutphen</t>
  </si>
  <si>
    <t>Amersfoort</t>
  </si>
  <si>
    <t>Baarn</t>
  </si>
  <si>
    <t>Bunnik</t>
  </si>
  <si>
    <t>Bunschoten</t>
  </si>
  <si>
    <t>De Bilt</t>
  </si>
  <si>
    <t>De Ronde Venen</t>
  </si>
  <si>
    <t>Eemnes</t>
  </si>
  <si>
    <t>Houten</t>
  </si>
  <si>
    <t>IJsselstein</t>
  </si>
  <si>
    <t>Leusden</t>
  </si>
  <si>
    <t>Lopik</t>
  </si>
  <si>
    <t>Nieuwegein</t>
  </si>
  <si>
    <t>Oudewater</t>
  </si>
  <si>
    <t>Renswoude</t>
  </si>
  <si>
    <t>Rhenen</t>
  </si>
  <si>
    <t>Soest</t>
  </si>
  <si>
    <t>Stichtse Vecht</t>
  </si>
  <si>
    <t>Utrecht</t>
  </si>
  <si>
    <t>Utrechtse Heuvelrug</t>
  </si>
  <si>
    <t>Veenendaal</t>
  </si>
  <si>
    <t>Vianen</t>
  </si>
  <si>
    <t>Wijk bij Duurstede</t>
  </si>
  <si>
    <t>Woerden</t>
  </si>
  <si>
    <t>Woudenberg</t>
  </si>
  <si>
    <t>Zeist</t>
  </si>
  <si>
    <t>Aalsmeer</t>
  </si>
  <si>
    <t>Alkmaar</t>
  </si>
  <si>
    <t>Amstelveen</t>
  </si>
  <si>
    <t>Amsterdam</t>
  </si>
  <si>
    <t>Beemster</t>
  </si>
  <si>
    <t>Beverwijk</t>
  </si>
  <si>
    <t>Blaricum</t>
  </si>
  <si>
    <t>Bloemendaal</t>
  </si>
  <si>
    <t>Castricum</t>
  </si>
  <si>
    <t>Den Helder</t>
  </si>
  <si>
    <t>Diemen</t>
  </si>
  <si>
    <t>Drechterland</t>
  </si>
  <si>
    <t>Edam-Volendam</t>
  </si>
  <si>
    <t>Enkhuizen</t>
  </si>
  <si>
    <t>Haarlem</t>
  </si>
  <si>
    <t>Haarlemmermeer</t>
  </si>
  <si>
    <t>Heemskerk</t>
  </si>
  <si>
    <t>Heemstede</t>
  </si>
  <si>
    <t>Heerhugowaard</t>
  </si>
  <si>
    <t>Heiloo</t>
  </si>
  <si>
    <t>Hilversum</t>
  </si>
  <si>
    <t>Hollands Kroon</t>
  </si>
  <si>
    <t>Hoorn</t>
  </si>
  <si>
    <t>Huizen</t>
  </si>
  <si>
    <t>Koggenland</t>
  </si>
  <si>
    <t>Landsmeer</t>
  </si>
  <si>
    <t>Langedijk</t>
  </si>
  <si>
    <t>Laren</t>
  </si>
  <si>
    <t>Medemblik</t>
  </si>
  <si>
    <t>Oostzaan</t>
  </si>
  <si>
    <t>Opmeer</t>
  </si>
  <si>
    <t>Ouder-Amstel</t>
  </si>
  <si>
    <t>Purmerend</t>
  </si>
  <si>
    <t>Schagen</t>
  </si>
  <si>
    <t>Stede Broec</t>
  </si>
  <si>
    <t>Texel</t>
  </si>
  <si>
    <t>Uitgeest</t>
  </si>
  <si>
    <t>Uithoorn</t>
  </si>
  <si>
    <t>Velsen</t>
  </si>
  <si>
    <t>Waterland</t>
  </si>
  <si>
    <t>Weesp</t>
  </si>
  <si>
    <t>Wijdemeren</t>
  </si>
  <si>
    <t>Wormerland</t>
  </si>
  <si>
    <t>Zaanstad</t>
  </si>
  <si>
    <t>Zandvoort</t>
  </si>
  <si>
    <t>Alblasserdam</t>
  </si>
  <si>
    <t>Albrandswaard</t>
  </si>
  <si>
    <t>Alphen aan den Rijn</t>
  </si>
  <si>
    <t>Barendrecht</t>
  </si>
  <si>
    <t>Binnenmaas</t>
  </si>
  <si>
    <t>Bodegraven-Reeuwijk</t>
  </si>
  <si>
    <t>Brielle</t>
  </si>
  <si>
    <t>Capelle aan den IJssel</t>
  </si>
  <si>
    <t>Cromstrijen</t>
  </si>
  <si>
    <t>Delft</t>
  </si>
  <si>
    <t>Dordrecht</t>
  </si>
  <si>
    <t>Giessenlanden</t>
  </si>
  <si>
    <t>Goeree-Overflakkee</t>
  </si>
  <si>
    <t>Gorinchem</t>
  </si>
  <si>
    <t>Gouda</t>
  </si>
  <si>
    <t>Hardinxveld-Giessendam</t>
  </si>
  <si>
    <t>Hellevoetsluis</t>
  </si>
  <si>
    <t>Hendrik-Ido-Ambacht</t>
  </si>
  <si>
    <t>Hillegom</t>
  </si>
  <si>
    <t>Kaag en Braassem</t>
  </si>
  <si>
    <t>Katwijk</t>
  </si>
  <si>
    <t>Korendijk</t>
  </si>
  <si>
    <t>Krimpen aan den IJssel</t>
  </si>
  <si>
    <t>Lansingerland</t>
  </si>
  <si>
    <t>Leerdam</t>
  </si>
  <si>
    <t>Leiden</t>
  </si>
  <si>
    <t>Leiderdorp</t>
  </si>
  <si>
    <t>Leidschendam-Voorburg</t>
  </si>
  <si>
    <t>Lisse</t>
  </si>
  <si>
    <t>Maassluis</t>
  </si>
  <si>
    <t>Midden-Delfland</t>
  </si>
  <si>
    <t>Molenwaard</t>
  </si>
  <si>
    <t>Nieuwkoop</t>
  </si>
  <si>
    <t>Noordwijk</t>
  </si>
  <si>
    <t>Noordwijkerhout</t>
  </si>
  <si>
    <t>Oegstgeest</t>
  </si>
  <si>
    <t>Oud-Beijerland</t>
  </si>
  <si>
    <t>Papendrecht</t>
  </si>
  <si>
    <t>Pijnacker-Nootdorp</t>
  </si>
  <si>
    <t>Ridderkerk</t>
  </si>
  <si>
    <t>Rijswijk</t>
  </si>
  <si>
    <t>Rotterdam</t>
  </si>
  <si>
    <t>Schiedam</t>
  </si>
  <si>
    <t>Sliedrecht</t>
  </si>
  <si>
    <t>Strijen</t>
  </si>
  <si>
    <t>Teylingen</t>
  </si>
  <si>
    <t>Vlaardingen</t>
  </si>
  <si>
    <t>Voorschoten</t>
  </si>
  <si>
    <t>Waddinxveen</t>
  </si>
  <si>
    <t>Wassenaar</t>
  </si>
  <si>
    <t>Westland</t>
  </si>
  <si>
    <t>Westvoorne</t>
  </si>
  <si>
    <t>Zederik</t>
  </si>
  <si>
    <t>Zoetermeer</t>
  </si>
  <si>
    <t>Zoeterwoude</t>
  </si>
  <si>
    <t>Zuidplas</t>
  </si>
  <si>
    <t>Zwijndrecht</t>
  </si>
  <si>
    <t>Borsele</t>
  </si>
  <si>
    <t>Goes</t>
  </si>
  <si>
    <t>Hulst</t>
  </si>
  <si>
    <t>Kapelle</t>
  </si>
  <si>
    <t>Middelburg</t>
  </si>
  <si>
    <t>Noord-Beveland</t>
  </si>
  <si>
    <t>Reimerswaal</t>
  </si>
  <si>
    <t>Schouwen-Duiveland</t>
  </si>
  <si>
    <t>Sluis</t>
  </si>
  <si>
    <t>Terneuzen</t>
  </si>
  <si>
    <t>Tholen</t>
  </si>
  <si>
    <t>Veere</t>
  </si>
  <si>
    <t>Vlissingen</t>
  </si>
  <si>
    <t>Aalburg</t>
  </si>
  <si>
    <t>Alphen-Chaam</t>
  </si>
  <si>
    <t>Asten</t>
  </si>
  <si>
    <t>Baarle-Nassau</t>
  </si>
  <si>
    <t>Bergeijk</t>
  </si>
  <si>
    <t>Bergen op Zoom</t>
  </si>
  <si>
    <t>Bernheze</t>
  </si>
  <si>
    <t>Best</t>
  </si>
  <si>
    <t>Bladel</t>
  </si>
  <si>
    <t>Boekel</t>
  </si>
  <si>
    <t>Boxmeer</t>
  </si>
  <si>
    <t>Boxtel</t>
  </si>
  <si>
    <t>Breda</t>
  </si>
  <si>
    <t>Cranendonck</t>
  </si>
  <si>
    <t>Cuijk</t>
  </si>
  <si>
    <t>Deurne</t>
  </si>
  <si>
    <t>Dongen</t>
  </si>
  <si>
    <t>Drimmelen</t>
  </si>
  <si>
    <t>Eersel</t>
  </si>
  <si>
    <t>Eindhoven</t>
  </si>
  <si>
    <t>Etten-Leur</t>
  </si>
  <si>
    <t>Geertruidenberg</t>
  </si>
  <si>
    <t>Geldrop-Mierlo</t>
  </si>
  <si>
    <t>Gemert-Bakel</t>
  </si>
  <si>
    <t>Gilze en Rijen</t>
  </si>
  <si>
    <t>Goirle</t>
  </si>
  <si>
    <t>Grave</t>
  </si>
  <si>
    <t>Haaren</t>
  </si>
  <si>
    <t>Halderberge</t>
  </si>
  <si>
    <t>Heeze-Leende</t>
  </si>
  <si>
    <t>Helmond</t>
  </si>
  <si>
    <t>Heusden</t>
  </si>
  <si>
    <t>Hilvarenbeek</t>
  </si>
  <si>
    <t>Laarbeek</t>
  </si>
  <si>
    <t>Landerd</t>
  </si>
  <si>
    <t>Loon op Zand</t>
  </si>
  <si>
    <t>Mill en Sint Hubert</t>
  </si>
  <si>
    <t>Moerdijk</t>
  </si>
  <si>
    <t>Oirschot</t>
  </si>
  <si>
    <t>Oisterwijk</t>
  </si>
  <si>
    <t>Oosterhout</t>
  </si>
  <si>
    <t>Oss</t>
  </si>
  <si>
    <t>Reusel-De Mierden</t>
  </si>
  <si>
    <t>Roosendaal</t>
  </si>
  <si>
    <t>Rucphen</t>
  </si>
  <si>
    <t>Schijndel</t>
  </si>
  <si>
    <t>Sint-Michielsgestel</t>
  </si>
  <si>
    <t>Sint-Oedenrode</t>
  </si>
  <si>
    <t>Someren</t>
  </si>
  <si>
    <t>Son en Breugel</t>
  </si>
  <si>
    <t>Steenbergen</t>
  </si>
  <si>
    <t>Tilburg</t>
  </si>
  <si>
    <t>Uden</t>
  </si>
  <si>
    <t>Valkenswaard</t>
  </si>
  <si>
    <t>Veghel</t>
  </si>
  <si>
    <t>Veldhoven</t>
  </si>
  <si>
    <t>Vught</t>
  </si>
  <si>
    <t>Waalre</t>
  </si>
  <si>
    <t>Waalwijk</t>
  </si>
  <si>
    <t>Werkendam</t>
  </si>
  <si>
    <t>Woensdrecht</t>
  </si>
  <si>
    <t>Woudrichem</t>
  </si>
  <si>
    <t>Zundert</t>
  </si>
  <si>
    <t>Beek</t>
  </si>
  <si>
    <t>Beesel</t>
  </si>
  <si>
    <t>Brunssum</t>
  </si>
  <si>
    <t>Echt-Susteren</t>
  </si>
  <si>
    <t>Eijsden-Margraten</t>
  </si>
  <si>
    <t>Gennep</t>
  </si>
  <si>
    <t>Gulpen-Wittem</t>
  </si>
  <si>
    <t>Heerlen</t>
  </si>
  <si>
    <t>Horst aan de Maas</t>
  </si>
  <si>
    <t>Kerkrade</t>
  </si>
  <si>
    <t>Landgraaf</t>
  </si>
  <si>
    <t>Leudal</t>
  </si>
  <si>
    <t>Maasgouw</t>
  </si>
  <si>
    <t>Maastricht</t>
  </si>
  <si>
    <t>Meerssen</t>
  </si>
  <si>
    <t>Mook en Middelaar</t>
  </si>
  <si>
    <t>Nederweert</t>
  </si>
  <si>
    <t>Nuth</t>
  </si>
  <si>
    <t>Onderbanken</t>
  </si>
  <si>
    <t>Peel en Maas</t>
  </si>
  <si>
    <t>Roerdalen</t>
  </si>
  <si>
    <t>Roermond</t>
  </si>
  <si>
    <t>Schinnen</t>
  </si>
  <si>
    <t>Simpelveld</t>
  </si>
  <si>
    <t>Sittard-Geleen</t>
  </si>
  <si>
    <t>Stein</t>
  </si>
  <si>
    <t>Vaals</t>
  </si>
  <si>
    <t>Valkenburg aan de Geul</t>
  </si>
  <si>
    <t>Venlo</t>
  </si>
  <si>
    <t>Venray</t>
  </si>
  <si>
    <t>Voerendaal</t>
  </si>
  <si>
    <t>Weert</t>
  </si>
  <si>
    <t>Almere</t>
  </si>
  <si>
    <t>Dronten</t>
  </si>
  <si>
    <t>Lelystad</t>
  </si>
  <si>
    <t>Noordoostpolder</t>
  </si>
  <si>
    <t>Urk</t>
  </si>
  <si>
    <t>Zeewolde</t>
  </si>
  <si>
    <t>Kollumerland en Nieuwkruisland</t>
  </si>
  <si>
    <t>Nuenen, Gerwen en Nederwetten</t>
  </si>
  <si>
    <t>Bergen (L.)</t>
  </si>
  <si>
    <t>Bergen (NH.)</t>
  </si>
  <si>
    <t>Haarlemmerliede en Spaarnwoude</t>
  </si>
  <si>
    <t>het Bildt</t>
  </si>
  <si>
    <t>Montfoort</t>
  </si>
  <si>
    <t>Sint Anthonis</t>
  </si>
  <si>
    <t>Súdwest-Fryslân</t>
  </si>
  <si>
    <t>Hoog</t>
  </si>
  <si>
    <t>Nederland</t>
  </si>
  <si>
    <t>s-Gravenhage</t>
  </si>
  <si>
    <t>Hengelo</t>
  </si>
  <si>
    <t>Investeringsruimte</t>
  </si>
  <si>
    <t>Onbenutte belastingcapaciteit</t>
  </si>
  <si>
    <t>Uitkomsten scenario's met ombuigingen</t>
  </si>
  <si>
    <t>Ombuigingsquote</t>
  </si>
  <si>
    <t xml:space="preserve">Niet in expl.genomen bouwgrond </t>
  </si>
  <si>
    <t>Liquide middelen</t>
  </si>
  <si>
    <t>Voorzieningen</t>
  </si>
  <si>
    <t>Overige langlopende schulden</t>
  </si>
  <si>
    <t>Langlopende leningen</t>
  </si>
  <si>
    <t>Kortlopende leningen</t>
  </si>
  <si>
    <t>Totaal eigen vermogen</t>
  </si>
  <si>
    <t>Reserves</t>
  </si>
  <si>
    <t>Totaal voorraden</t>
  </si>
  <si>
    <t>Totaal langlopende schuld</t>
  </si>
  <si>
    <t>Afschrijvingspercentage ideaal</t>
  </si>
  <si>
    <t>Afschrijvingspercentage werkelijk</t>
  </si>
  <si>
    <t>Afschrijvingspercentage</t>
  </si>
  <si>
    <t>Mutatie voorziening</t>
  </si>
  <si>
    <t>Inw.gevoeligheid midden laag</t>
  </si>
  <si>
    <t>Overige niet ingedeelde uitgaven</t>
  </si>
  <si>
    <t>Overige niet ingedeelde inkomsten</t>
  </si>
  <si>
    <t>Materiële vaste activa</t>
  </si>
  <si>
    <t xml:space="preserve">Totaal (im-)materiële vaste activa </t>
  </si>
  <si>
    <t>Onderhanden werk incl. bouwgrond in expl.</t>
  </si>
  <si>
    <t>Rente-opbrengst</t>
  </si>
  <si>
    <t>Ombuiging grondexploitatie</t>
  </si>
  <si>
    <t>Gem kst.</t>
  </si>
  <si>
    <t>Gem opbrgst.</t>
  </si>
  <si>
    <t>Correctie 0%</t>
  </si>
  <si>
    <t>Inroepen verleende garanties</t>
  </si>
  <si>
    <t>Laag</t>
  </si>
  <si>
    <t>Boekwinst verkopen kapitaalverstrekkingen</t>
  </si>
  <si>
    <t>Handmatig</t>
  </si>
  <si>
    <t>Netto schuld incl.</t>
  </si>
  <si>
    <t>Investering 2017</t>
  </si>
  <si>
    <t>Investering 2024</t>
  </si>
  <si>
    <t>Opbrengst verkoop 2024</t>
  </si>
  <si>
    <t>Aflossing 2020</t>
  </si>
  <si>
    <t xml:space="preserve">Gemiddeld rentepercentage restant 2021 </t>
  </si>
  <si>
    <t>Aflossing 2024</t>
  </si>
  <si>
    <t>Gemiddeld rentepercentage restant 2024</t>
  </si>
  <si>
    <t>Slechtweer scenario</t>
  </si>
  <si>
    <t>Taakwijziging fin.verhouding</t>
  </si>
  <si>
    <t>Onbenutte belst.cap.</t>
  </si>
  <si>
    <t>Ombuigingsrelevante uitgaven</t>
  </si>
  <si>
    <t>Balansprognose</t>
  </si>
  <si>
    <t>Nieuwe langlopende uitzettingen</t>
  </si>
  <si>
    <t>Krimpenerwaard</t>
  </si>
  <si>
    <t>Nissewaard</t>
  </si>
  <si>
    <t>s-Hertogenbosch</t>
  </si>
  <si>
    <t>Friesland</t>
  </si>
  <si>
    <t>2. Baten bouwgrond 2010</t>
  </si>
  <si>
    <t>3. Lasten bouwgrond 2010</t>
  </si>
  <si>
    <t>4. Baten bouwgrond 2011</t>
  </si>
  <si>
    <t>5. Lasten bouwgrond 2011</t>
  </si>
  <si>
    <t>6. Baten bouwgrond 2012</t>
  </si>
  <si>
    <t>7. Lasten bouwgrond 2012</t>
  </si>
  <si>
    <t>8. Baten bouwgrond 2013</t>
  </si>
  <si>
    <t>9. Lasten bouwgrond 2013</t>
  </si>
  <si>
    <t>10. Baten bouwgrond 2014</t>
  </si>
  <si>
    <t>11. Lasten bouwgrond 2014</t>
  </si>
  <si>
    <t>Rente nieuwe 10 jaars lening</t>
  </si>
  <si>
    <t>Quick ratio</t>
  </si>
  <si>
    <t>Quickratio</t>
  </si>
  <si>
    <t xml:space="preserve">Boekwinst verkopen materiele vaste activa </t>
  </si>
  <si>
    <t>Saldo bouwgrond</t>
  </si>
  <si>
    <t>2. Algemene uitkering</t>
  </si>
  <si>
    <t>(Im-)materiële vaste activa</t>
  </si>
  <si>
    <t xml:space="preserve">Totaal ombuigingen 5 jaar in constante prijs € </t>
  </si>
  <si>
    <t>Opbrengst verkoop bezit</t>
  </si>
  <si>
    <t>in exploitatie result.</t>
  </si>
  <si>
    <t>Rentestijging 2017 t.o.v. eind 2015</t>
  </si>
  <si>
    <t>Rentestijging 2018 t.o.v. eind 2015</t>
  </si>
  <si>
    <t>Rentestijging 2019 t.o.v. eind 2015</t>
  </si>
  <si>
    <t>Voorraadquote (grondexploitatie)</t>
  </si>
  <si>
    <t>Netto schuldquote (incl. uitgeleend geld)</t>
  </si>
  <si>
    <t>Investering 2018</t>
  </si>
  <si>
    <t xml:space="preserve">Investering 2019 </t>
  </si>
  <si>
    <t>Investering 2025</t>
  </si>
  <si>
    <t>Opbrengst verkoop 2025</t>
  </si>
  <si>
    <t xml:space="preserve">Aflossing 2018 </t>
  </si>
  <si>
    <t>Gemiddeld rentepercentage restant 2019</t>
  </si>
  <si>
    <t>Aflossing 2021</t>
  </si>
  <si>
    <t xml:space="preserve">Gemiddeld rentepercentage restant 2022 </t>
  </si>
  <si>
    <t>Aflossing 2025</t>
  </si>
  <si>
    <t>Gemiddeld rentepercentage restant 2025</t>
  </si>
  <si>
    <t>Aflossing 2017</t>
  </si>
  <si>
    <t>Val opbrengst grondexpl. 2017</t>
  </si>
  <si>
    <t>Val opbrengst grondexpl. vanaf 2018</t>
  </si>
  <si>
    <t>Gooise Meren</t>
  </si>
  <si>
    <t>Netto schuldquote incl. uitgeleend</t>
  </si>
  <si>
    <t>Resultaat v. mutatie reserves in % van inkomsten</t>
  </si>
  <si>
    <t>Primair surplus in % van LL.schuld</t>
  </si>
  <si>
    <t>Baten v. mutatie reserves incl. bouwgrondexpl.</t>
  </si>
  <si>
    <t>Lasten v. mutatie reserves incl. kostprijs verk. bouwgrond</t>
  </si>
  <si>
    <t>Onbenutte belastingcapaciteit in % van inkomsten</t>
  </si>
  <si>
    <t>Prijspeil Nationale bestedingen</t>
  </si>
  <si>
    <t xml:space="preserve">Groei inkomsten is gelijk aan prijspeil Nb &amp; economische groei &amp; relatieve groei inwonertal  </t>
  </si>
  <si>
    <t>Economische groei -/- groei inw. NL</t>
  </si>
  <si>
    <t>Niet in exploitatie genomen grond</t>
  </si>
  <si>
    <t>Onderh.werk bouwgrondexploitatie</t>
  </si>
  <si>
    <t>Netto schuld / inw.</t>
  </si>
  <si>
    <t>Ombuiging investeringen (im)materiële activa + invest.bijdragen derden</t>
  </si>
  <si>
    <t>Liquiditeit</t>
  </si>
  <si>
    <t>Solvabiliteit</t>
  </si>
  <si>
    <t>Exploitatie</t>
  </si>
  <si>
    <t>Voorzieningenniveau</t>
  </si>
  <si>
    <t>Houdbaarheid</t>
  </si>
  <si>
    <t>Afname onderhanden werk (kst.pr.verkopen)</t>
  </si>
  <si>
    <t>WMO HH</t>
  </si>
  <si>
    <t>Sociaal deelfonds</t>
  </si>
  <si>
    <t>OZB</t>
  </si>
  <si>
    <t>Overige belastingen</t>
  </si>
  <si>
    <t>Bijstand</t>
  </si>
  <si>
    <t>Riool rechten</t>
  </si>
  <si>
    <t>Overige rechten &amp; leges</t>
  </si>
  <si>
    <t xml:space="preserve">Bouwgrond </t>
  </si>
  <si>
    <t>Overige eigen inkomsten</t>
  </si>
  <si>
    <t>Rijksoverdrachten</t>
  </si>
  <si>
    <t>Overige specifieke &amp; decentr. uitkeringen</t>
  </si>
  <si>
    <t>Houdbaarheidstekort in % ombuigingsrelevant deel exploitatie</t>
  </si>
  <si>
    <t>Groeivoet lopende uitgaven</t>
  </si>
  <si>
    <t>Primair surplus in % van LL schuld</t>
  </si>
  <si>
    <t>Inkomsten voor bestemming reserves en excl. rente, boekwinst verk. activa, bouwgrondexploitatie (a)</t>
  </si>
  <si>
    <t>Rente-inkomsten (b)</t>
  </si>
  <si>
    <t>Boekwinst (verkoop) vaste materiele en financiele activa (d)</t>
  </si>
  <si>
    <t xml:space="preserve">Baten bouwgrond (c) </t>
  </si>
  <si>
    <t>Lasten voor mutatie reserves (e + f + g + h + i)</t>
  </si>
  <si>
    <t>Lopende uitgaven excl. rente, afschrijvingen, investeringen, bouwgrondexploitatie (f)</t>
  </si>
  <si>
    <t>Rente-uitgaven (g)</t>
  </si>
  <si>
    <t>Lasten bouwgrond (h)</t>
  </si>
  <si>
    <t>Afschrijvingen (i)</t>
  </si>
  <si>
    <t>Mutatie voorzieningen (j)</t>
  </si>
  <si>
    <t>Baten voor mutatie reserves (a + b + c + d + e)</t>
  </si>
  <si>
    <t>Boekwinst (verlies) overboeking / verkoop strategische gronden (e)</t>
  </si>
  <si>
    <t>Netto schuld excl.</t>
  </si>
  <si>
    <t>Inkomensmix</t>
  </si>
  <si>
    <t>1. Provincie</t>
  </si>
  <si>
    <t>2. Grootteklasse</t>
  </si>
  <si>
    <t>5. Overige DU</t>
  </si>
  <si>
    <t>6. WBB Bijstand incl BBZ</t>
  </si>
  <si>
    <t>DR</t>
  </si>
  <si>
    <t>NB</t>
  </si>
  <si>
    <t>NH</t>
  </si>
  <si>
    <t>GLD</t>
  </si>
  <si>
    <t>FR</t>
  </si>
  <si>
    <t>ZH</t>
  </si>
  <si>
    <t>OV</t>
  </si>
  <si>
    <t>FL</t>
  </si>
  <si>
    <t>UT</t>
  </si>
  <si>
    <t>GR</t>
  </si>
  <si>
    <t>LB</t>
  </si>
  <si>
    <t>Berg en Dal</t>
  </si>
  <si>
    <t>ZL</t>
  </si>
  <si>
    <t>De Fryske Marren</t>
  </si>
  <si>
    <t>Groningen (prov.)</t>
  </si>
  <si>
    <t>Drenthe</t>
  </si>
  <si>
    <t>Overijssel</t>
  </si>
  <si>
    <t>Flevoland</t>
  </si>
  <si>
    <t>Gelderland</t>
  </si>
  <si>
    <t>Noord Holland</t>
  </si>
  <si>
    <t>Zuid Holland</t>
  </si>
  <si>
    <t>Zeeland</t>
  </si>
  <si>
    <t>Brabant</t>
  </si>
  <si>
    <t>Limburg</t>
  </si>
  <si>
    <t>1. Gemeente</t>
  </si>
  <si>
    <t>3. Integratie-uitkering HH</t>
  </si>
  <si>
    <t>4. Integratie-uitkering SD</t>
  </si>
  <si>
    <t>Utrecht (prov.)</t>
  </si>
  <si>
    <t>14. Baten bouwgrond gem.</t>
  </si>
  <si>
    <t>15. Lasten bouwgrond gem.</t>
  </si>
  <si>
    <t>17. Afschrijvingen: 138,66 * inwoners</t>
  </si>
  <si>
    <t>Onbenutte OZB capaciteit</t>
  </si>
  <si>
    <t>OZB woning gemiddeld -/- OZB woning Nederland</t>
  </si>
  <si>
    <t xml:space="preserve">Tarief OZB woning  </t>
  </si>
  <si>
    <t>Onroerende zaak belasting niet-woningen</t>
  </si>
  <si>
    <t>7. Onroerende zaakbelasting gebruikers * 1000</t>
  </si>
  <si>
    <t>8. Onroerende zaakbelasting eigenaren * 1000</t>
  </si>
  <si>
    <t>9. Hondenbelasting * 1000</t>
  </si>
  <si>
    <t>10. Toeristenbelasting * 1000</t>
  </si>
  <si>
    <t>11. Reclamebelasting * 1000</t>
  </si>
  <si>
    <t>12. Baatbelasting * 1000</t>
  </si>
  <si>
    <t>13. Forensenbelasting * 1000</t>
  </si>
  <si>
    <t>14. Parkeerbelasting * 1000</t>
  </si>
  <si>
    <t>15. Precariobelasting * 1000</t>
  </si>
  <si>
    <t>16. Roerende woon- en bedrijfsr. Belastingen * 1000</t>
  </si>
  <si>
    <t>17. Rioolheffing (gecombineerd) * 1000</t>
  </si>
  <si>
    <t>18. Reinigingsrechten en afvalstoffenheffing * 1000</t>
  </si>
  <si>
    <t>19. Begraafplaatsrechten * 1000</t>
  </si>
  <si>
    <t>20. Bouwvergunningen * 1000</t>
  </si>
  <si>
    <t>21. Secretarieleges burgerzaken * 1000</t>
  </si>
  <si>
    <t>22. Marktgelden * 1000</t>
  </si>
  <si>
    <t>23. Inkomsten voor mutatie reserves 2016</t>
  </si>
  <si>
    <t>24. Uitgaven voor mutatie reserves 2016</t>
  </si>
  <si>
    <t>Val netto inkomsten 2018 t.o.v. trend normaal</t>
  </si>
  <si>
    <t>Val netto inkomsten 2019 - 2026 t.o.v. trend normaal</t>
  </si>
  <si>
    <t xml:space="preserve">Tegenvaller netto uitgaven 2018 t.o.v. trend normaal </t>
  </si>
  <si>
    <t xml:space="preserve">Tegenvallers netto uitgaven 2019 - 2026 t.o.v. trend normaal </t>
  </si>
  <si>
    <t>Val opbrengst bouwgrondexpl. 2018 in %</t>
  </si>
  <si>
    <t>Val opbrengst bouwgrondexpl. vanaf 2019 in %</t>
  </si>
  <si>
    <t xml:space="preserve">Afschrijving leningen verbonden partijen 2018 </t>
  </si>
  <si>
    <t>Afschrijving leningen derden 2018</t>
  </si>
  <si>
    <t>Rentestijging 2018 t.o.v. begin 2017</t>
  </si>
  <si>
    <t>Rentestijging 2019 t.o.v. begin 2017</t>
  </si>
  <si>
    <t>Rentestijging 2020 t.o.v. begin 2017</t>
  </si>
  <si>
    <t>Ombuigingspercentage per jaar vanaf 2018 t/m 2022</t>
  </si>
  <si>
    <t>Ombuiging investeringen excl. bouwgrondexpl. vanaf 2018</t>
  </si>
  <si>
    <t>Inwoners eind 2016</t>
  </si>
  <si>
    <t>Eenmalige val inkomsten 2018</t>
  </si>
  <si>
    <t>Val inkmst.expl. in % m.i.v. 2019</t>
  </si>
  <si>
    <t>Tegenvallers uitg.struct.m.i.v. 2019</t>
  </si>
  <si>
    <t xml:space="preserve">Tegenvaller uitg. 2018 eenmalig </t>
  </si>
  <si>
    <t>Begroting 2017</t>
  </si>
  <si>
    <t>Afschrijvingen materiële activa 2017</t>
  </si>
  <si>
    <t>Jaarrek. 2016</t>
  </si>
  <si>
    <t>EMU saldo 2017 (rood = EMU-tekort)</t>
  </si>
  <si>
    <t>2018 - 2021</t>
  </si>
  <si>
    <t>Beginbalans 1 januari 2017</t>
  </si>
  <si>
    <t>Gemiddeld rentepercentage 2017</t>
  </si>
  <si>
    <t xml:space="preserve">Gemiddeld rentepercentage 2018 </t>
  </si>
  <si>
    <t xml:space="preserve">Aflossing 2019 </t>
  </si>
  <si>
    <t>Gemiddeld rentepercentage 2019</t>
  </si>
  <si>
    <t>Gemiddeld rentepercentage restant 2020</t>
  </si>
  <si>
    <t>Aflossing 2022</t>
  </si>
  <si>
    <t>Gemiddeld rentepercentage restant 2022</t>
  </si>
  <si>
    <t xml:space="preserve">Aflossing 2023 </t>
  </si>
  <si>
    <t xml:space="preserve">Gemiddeld rentepercentage restant 2023 </t>
  </si>
  <si>
    <t>Aflossing 2026</t>
  </si>
  <si>
    <t>Gemiddeld rentepercentage restant 2026</t>
  </si>
  <si>
    <t>Aflossing 2018</t>
  </si>
  <si>
    <t xml:space="preserve">Gemiddeld rentepercentage restant 2018 </t>
  </si>
  <si>
    <t>Solvabiliteitsratio (excl. voorzieningen)</t>
  </si>
  <si>
    <t>Rente liquide middelen &amp; uitzettingen</t>
  </si>
  <si>
    <t>Rente nieuw doorgeleend geld</t>
  </si>
  <si>
    <t>Tarief OZB niet-woning eigenaar</t>
  </si>
  <si>
    <t>Tarief OZB niet-woning gebruiker</t>
  </si>
  <si>
    <t>Reele groei zorgkosten</t>
  </si>
  <si>
    <t>Immateriële vaste activa (incl.bijdr.activa derden)</t>
  </si>
  <si>
    <t>Afschrijvingen immateriële activa 2017 (incl.bijdr.activa derden)</t>
  </si>
  <si>
    <t>Vaste activa</t>
  </si>
  <si>
    <t>Vlottende activa</t>
  </si>
  <si>
    <t>Vlottende passiva</t>
  </si>
  <si>
    <t>Vaste Passiva</t>
  </si>
  <si>
    <t>Boekwinst overboeking NIEGG naar onderhandenwerk</t>
  </si>
  <si>
    <t>Rente en dividend</t>
  </si>
  <si>
    <t>Afhankelijkheidsratio</t>
  </si>
  <si>
    <t>WOZ waarde woningen</t>
  </si>
  <si>
    <t>WOZ waarde niet-woningen eig.</t>
  </si>
  <si>
    <t>WOZ waarde niet-woningen gebr.</t>
  </si>
  <si>
    <t>1,2* tarief Ned</t>
  </si>
  <si>
    <t>Opbrengst werkelijk</t>
  </si>
  <si>
    <t>Huishoudelijke hulp</t>
  </si>
  <si>
    <t>12. Baten bouwgrond 2015</t>
  </si>
  <si>
    <t>13. Lasten bouwgrond 2015</t>
  </si>
  <si>
    <t>2017</t>
  </si>
  <si>
    <t>2018</t>
  </si>
  <si>
    <t>2019</t>
  </si>
  <si>
    <t>2020</t>
  </si>
  <si>
    <t>2021</t>
  </si>
  <si>
    <t>2022</t>
  </si>
  <si>
    <t>2023</t>
  </si>
  <si>
    <t>2024</t>
  </si>
  <si>
    <t>2025</t>
  </si>
  <si>
    <t>2026</t>
  </si>
  <si>
    <t>Groei inwoners Nederland per jaar 2017-2026</t>
  </si>
  <si>
    <t xml:space="preserve">Macrogegevens trend </t>
  </si>
  <si>
    <t>2. Groei inwoners</t>
  </si>
  <si>
    <t>3. Inwonergevoeligheid AU</t>
  </si>
  <si>
    <t>4. Groei bedrijfsvestigingen</t>
  </si>
  <si>
    <t>5. Netto schuld 2011 / inwoner</t>
  </si>
  <si>
    <t>6. Inwoners 31 december 2016</t>
  </si>
  <si>
    <t>7. Inwoners 31 december 2011</t>
  </si>
  <si>
    <t>8. Bedrijfsvestigingen 2016</t>
  </si>
  <si>
    <t>9. Bedrijfsvestigingen 2015</t>
  </si>
  <si>
    <t>10. Bedrijfsvestigingen 2014</t>
  </si>
  <si>
    <t>11. Bedrijfsvestigingen 2013</t>
  </si>
  <si>
    <t>12. Netto schuld 31-12-2011</t>
  </si>
  <si>
    <t>Gemeente bevolkingsprognose</t>
  </si>
  <si>
    <t xml:space="preserve">Gemiddeld </t>
  </si>
  <si>
    <t>2. Tarief  woningen 2016</t>
  </si>
  <si>
    <t>3. Tarief eigenaar niet woning 2016</t>
  </si>
  <si>
    <t>4. Tarief gebruiker niet woning 2016</t>
  </si>
  <si>
    <t>5. Gemiddeld OZB woningen</t>
  </si>
  <si>
    <t>6. Waarde woningen</t>
  </si>
  <si>
    <t>7. Niet woningen gebruikers</t>
  </si>
  <si>
    <t>8. Niet woningen eigenaren</t>
  </si>
  <si>
    <t>9. Opbrengst OZB woningen</t>
  </si>
  <si>
    <t>10. Opbrengst OZB eigenaren niet woningen</t>
  </si>
  <si>
    <t>11. Opbrengst OZB gebruikers niet woningen</t>
  </si>
  <si>
    <t>12. Opbrengst OZB niet woningen</t>
  </si>
  <si>
    <t>13. Woonruimten</t>
  </si>
  <si>
    <t>Ratio's exploitatie</t>
  </si>
  <si>
    <t>Verschil 2017</t>
  </si>
  <si>
    <t>Opbrengst 2017</t>
  </si>
  <si>
    <t>Opbrengst 2016</t>
  </si>
  <si>
    <t>Verschil 2016</t>
  </si>
  <si>
    <t>16. Inwoners 31 dec 2016</t>
  </si>
  <si>
    <t xml:space="preserve">Eigen bijdragen WMO &amp; Jeugd </t>
  </si>
  <si>
    <t xml:space="preserve">Groei uitgaven is gelijk aan inflatie &amp; groei zorg &amp; groei inwoners </t>
  </si>
  <si>
    <t xml:space="preserve">Bestuur, burgerzaken, openbare orde &amp; veilgheid </t>
  </si>
  <si>
    <t>Groei uitgaven is gelijk aan 0,8 * inflatie &amp; 0,2 * loonstijging &amp; groei inwoners</t>
  </si>
  <si>
    <t>Bedrijvenloket, economische promotie</t>
  </si>
  <si>
    <t xml:space="preserve">Overhead, treasury (geen loonkst. en rente) </t>
  </si>
  <si>
    <t>Economische ontwikkeling, fysieke bedrijfsinfrastructuur</t>
  </si>
  <si>
    <t>Openbaar groen, recreatie, begraafplaatsen, recreatieve havens</t>
  </si>
  <si>
    <t>Musea, cultureel erfgoed, media, cultuurpresentatie</t>
  </si>
  <si>
    <t>Onderwijsgebouwen, sportaccomodaties</t>
  </si>
  <si>
    <t>Parkeren</t>
  </si>
  <si>
    <t>Vennootschapsbelasting</t>
  </si>
  <si>
    <t>Economische havens &amp; waterwegen</t>
  </si>
  <si>
    <t xml:space="preserve">Verkeer &amp; vervoer </t>
  </si>
  <si>
    <t>Openbaar vervoer</t>
  </si>
  <si>
    <t>Volksgezondheid</t>
  </si>
  <si>
    <t>Crisis beheer en brandweer</t>
  </si>
  <si>
    <t>Beheer overige gebouwen</t>
  </si>
  <si>
    <t xml:space="preserve">Netto opbrengst 6% </t>
  </si>
  <si>
    <t>Correctie 6%</t>
  </si>
  <si>
    <t>Correctie grondopbrengst bij krimp inwonertal</t>
  </si>
  <si>
    <t>Afschrijvingen minus ideaal primair surplus in % van inkomsten</t>
  </si>
  <si>
    <t xml:space="preserve">Houdbaarheidstekort in % van lasten 2017 </t>
  </si>
  <si>
    <t>Evolutie netto schuld 2011-2016 / 2011-2017 per inwoner</t>
  </si>
  <si>
    <t>Groei inkomsten is gelijk aan inflatie &amp; groei zorg &amp; relatieve groei inwoners</t>
  </si>
  <si>
    <t xml:space="preserve">Inflatie CPI </t>
  </si>
  <si>
    <t xml:space="preserve">Trendmatige economische groei </t>
  </si>
  <si>
    <t xml:space="preserve">Groei inwoners gemeente per jaar 2017-2026 </t>
  </si>
  <si>
    <t>Participatie deel sociaal deelfonds</t>
  </si>
  <si>
    <t xml:space="preserve">Sociaal deelfonds Jeugddeel en WMO-deel </t>
  </si>
  <si>
    <t>Totaal ombuigingen</t>
  </si>
  <si>
    <t>Meijerijstad</t>
  </si>
  <si>
    <t>17. Afschrijvingen: 143,36 * inwoners</t>
  </si>
  <si>
    <t>Slechtweer</t>
  </si>
  <si>
    <t>Reële groei uitgaven zorg excl.inw.groei</t>
  </si>
  <si>
    <t>Jan van der Lei, maart 2017</t>
  </si>
  <si>
    <t xml:space="preserve">Dekking trendmatige groei uitgaven </t>
  </si>
  <si>
    <t xml:space="preserve">Stijging prijs beloning werknemers </t>
  </si>
  <si>
    <t>Profijtratio</t>
  </si>
  <si>
    <t>Decentralisatie uitkeringen</t>
  </si>
  <si>
    <t>Dekking trendmatige groei uitgaven</t>
  </si>
  <si>
    <t>Bruto rente &amp; afschrijvingen in % lasten</t>
  </si>
  <si>
    <t>Primair surplus in % lasten</t>
  </si>
  <si>
    <t>Primair surplus incl.rente in % lasten</t>
  </si>
  <si>
    <t>Ombuigingsquote in % lasten</t>
  </si>
  <si>
    <t>Onbenutte belastingcpaciteit in % baten</t>
  </si>
  <si>
    <t>Resultaat exploitatie in % baten</t>
  </si>
  <si>
    <t>Netto rentedruk in % baten</t>
  </si>
  <si>
    <t>5. Decentralisatie-uitkeringen</t>
  </si>
  <si>
    <t>7. Participatie</t>
  </si>
  <si>
    <t>8. Onroerende zaakbelasting gebruikers * 1000</t>
  </si>
  <si>
    <t>9. Onroerende zaakbelasting eigenaren * 1000</t>
  </si>
  <si>
    <t>10. Hondenbelasting * 1000</t>
  </si>
  <si>
    <t>11. Toeristenbelasting * 1000</t>
  </si>
  <si>
    <t>12. Reclamebelasting * 1000</t>
  </si>
  <si>
    <t>13. Baatbelasting * 1000</t>
  </si>
  <si>
    <t>14. Forensenbelasting * 1000</t>
  </si>
  <si>
    <t>15. Parkeerbelasting * 1000</t>
  </si>
  <si>
    <t>16. Precariobelasting * 1000</t>
  </si>
  <si>
    <t>17. Roerende woon- en bedrijfsr. Belastingen * 1000</t>
  </si>
  <si>
    <t>18. Rioolheffing (gecombineerd) * 1000</t>
  </si>
  <si>
    <t>19. Reinigingsrechten en afvalstoffenheffing * 1000</t>
  </si>
  <si>
    <t>20. Begraafplaatsrechten * 1000</t>
  </si>
  <si>
    <t>21. Bouwvergunningen * 1000</t>
  </si>
  <si>
    <t>22. Secretarieleges burgerzaken * 1000</t>
  </si>
  <si>
    <t>23. Marktgelden * 1000</t>
  </si>
  <si>
    <t>24. Inkomsten voor mutatie reserves 2016</t>
  </si>
  <si>
    <t>25. Uitgaven voor mutatie reserves 2016</t>
  </si>
  <si>
    <t>26. Inkomsten voor mutatie reserves 2017</t>
  </si>
  <si>
    <t>27. Uitgaven voor mutatie reserves 2017</t>
  </si>
  <si>
    <t xml:space="preserve">Profijtratio </t>
  </si>
  <si>
    <t xml:space="preserve">Uitkeringen bijstand </t>
  </si>
  <si>
    <t>Sociale werkvoorziening</t>
  </si>
  <si>
    <t>Loonkostensubsidies participatie</t>
  </si>
  <si>
    <t>WMO begeleiding</t>
  </si>
  <si>
    <t>Jeugdzorg regulier</t>
  </si>
  <si>
    <t>Jeugd begeleid wonen / specialistische zorg</t>
  </si>
  <si>
    <t>Ruimtelijke ordening, wonen en bouwen, milieubeheer</t>
  </si>
  <si>
    <t>Openbaar onderwijs</t>
  </si>
  <si>
    <t>Onderwijsbeleid</t>
  </si>
  <si>
    <t>Afvalverwijdering</t>
  </si>
  <si>
    <t>Riolering</t>
  </si>
  <si>
    <t>Samenkracht en burgerparticipatie, wijkteams, sportbeleid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</si>
</sst>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 #,##0;&quot;€&quot;\ \-#,##0"/>
    <numFmt numFmtId="6" formatCode="&quot;€&quot;\ #,##0;[Red]&quot;€&quot;\ \-#,##0"/>
    <numFmt numFmtId="42" formatCode="_ &quot;€&quot;\ * #,##0_ ;_ &quot;€&quot;\ * \-#,##0_ ;_ &quot;€&quot;\ * &quot;-&quot;_ ;_ @_ "/>
    <numFmt numFmtId="43" formatCode="_ * #,##0.00_ ;_ * \-#,##0.00_ ;_ * &quot;-&quot;??_ ;_ @_ "/>
    <numFmt numFmtId="164" formatCode="_-&quot;€&quot;\ * #,##0_-;_-&quot;€&quot;\ * #,##0\-;_-&quot;€&quot;\ * &quot;-&quot;_-;_-@_-"/>
    <numFmt numFmtId="165" formatCode="0.0%"/>
    <numFmt numFmtId="166" formatCode="_-&quot;€&quot;\ * #,##0.0_-;_-&quot;€&quot;\ * #,##0.0\-;_-&quot;€&quot;\ * &quot;-&quot;?_-;_-@_-"/>
    <numFmt numFmtId="167" formatCode="&quot;€&quot;\ #,##0"/>
    <numFmt numFmtId="168" formatCode="&quot;€&quot;\ #,##0;[Red]&quot;€&quot;\ #,##0"/>
    <numFmt numFmtId="169" formatCode="#,##0_ ;[Red]\-#,##0\ "/>
    <numFmt numFmtId="170" formatCode="0_ ;[Red]\-0\ "/>
    <numFmt numFmtId="171" formatCode="0.0"/>
    <numFmt numFmtId="172" formatCode="0.0000%"/>
    <numFmt numFmtId="173" formatCode="0.000000%"/>
    <numFmt numFmtId="174" formatCode="0.0000"/>
    <numFmt numFmtId="175" formatCode="0.000"/>
  </numFmts>
  <fonts count="21" x14ac:knownFonts="1">
    <font>
      <sz val="10"/>
      <color theme="1"/>
      <name val="Arial"/>
      <family val="2"/>
    </font>
    <font>
      <sz val="10"/>
      <name val="Arial"/>
      <family val="2"/>
    </font>
    <font>
      <b/>
      <sz val="8"/>
      <name val="Arial"/>
      <family val="2"/>
    </font>
    <font>
      <u val="singleAccounting"/>
      <sz val="10"/>
      <color indexed="8"/>
      <name val="Arial"/>
      <family val="2"/>
    </font>
    <font>
      <b/>
      <sz val="9"/>
      <color indexed="81"/>
      <name val="Tahoma"/>
      <family val="2"/>
    </font>
    <font>
      <b/>
      <sz val="10"/>
      <color theme="1"/>
      <name val="Arial"/>
      <family val="2"/>
    </font>
    <font>
      <sz val="10"/>
      <color rgb="FFFF0000"/>
      <name val="Arial"/>
      <family val="2"/>
    </font>
    <font>
      <sz val="10"/>
      <color theme="1"/>
      <name val="Calibri"/>
      <family val="2"/>
    </font>
    <font>
      <u val="singleAccounting"/>
      <sz val="10"/>
      <color theme="1"/>
      <name val="Arial"/>
      <family val="2"/>
    </font>
    <font>
      <sz val="8"/>
      <name val="Arial"/>
      <family val="2"/>
    </font>
    <font>
      <b/>
      <sz val="10"/>
      <name val="Arial"/>
      <family val="2"/>
    </font>
    <font>
      <sz val="11"/>
      <color indexed="8"/>
      <name val="Calibri"/>
      <family val="2"/>
      <scheme val="minor"/>
    </font>
    <font>
      <b/>
      <sz val="8"/>
      <name val="Arial"/>
      <family val="2"/>
    </font>
    <font>
      <sz val="10"/>
      <color rgb="FFC00000"/>
      <name val="Arial"/>
      <family val="2"/>
    </font>
    <font>
      <sz val="9"/>
      <color indexed="81"/>
      <name val="Tahoma"/>
      <family val="2"/>
    </font>
    <font>
      <sz val="9"/>
      <color theme="1"/>
      <name val="Arial"/>
      <family val="2"/>
    </font>
    <font>
      <u/>
      <sz val="10"/>
      <color theme="1"/>
      <name val="Arial"/>
      <family val="2"/>
    </font>
    <font>
      <sz val="8"/>
      <name val="Arial"/>
      <family val="2"/>
    </font>
    <font>
      <b/>
      <i/>
      <sz val="10"/>
      <color theme="1"/>
      <name val="Arial"/>
      <family val="2"/>
    </font>
    <font>
      <sz val="10"/>
      <color theme="1"/>
      <name val="Arial"/>
      <family val="2"/>
    </font>
    <font>
      <b/>
      <u/>
      <sz val="10"/>
      <color theme="1"/>
      <name val="Arial"/>
      <family val="2"/>
    </font>
  </fonts>
  <fills count="7">
    <fill>
      <patternFill patternType="none"/>
    </fill>
    <fill>
      <patternFill patternType="gray125"/>
    </fill>
    <fill>
      <patternFill patternType="solid">
        <fgColor theme="5" tint="0.79998168889431442"/>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5" tint="0.59996337778862885"/>
        <bgColor indexed="64"/>
      </patternFill>
    </fill>
  </fills>
  <borders count="16">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2" fillId="0" borderId="0" applyNumberFormat="0" applyFill="0" applyBorder="0" applyProtection="0"/>
    <xf numFmtId="0" fontId="11" fillId="0" borderId="0"/>
    <xf numFmtId="43" fontId="19" fillId="0" borderId="0" applyFont="0" applyFill="0" applyBorder="0" applyAlignment="0" applyProtection="0"/>
  </cellStyleXfs>
  <cellXfs count="297">
    <xf numFmtId="0" fontId="0" fillId="0" borderId="0" xfId="0"/>
    <xf numFmtId="0" fontId="5" fillId="3" borderId="0" xfId="0" applyFont="1" applyFill="1" applyProtection="1"/>
    <xf numFmtId="0" fontId="5" fillId="3" borderId="0" xfId="0" applyFont="1" applyFill="1" applyProtection="1">
      <protection hidden="1"/>
    </xf>
    <xf numFmtId="0" fontId="0" fillId="3" borderId="0" xfId="0" applyFill="1" applyProtection="1">
      <protection hidden="1"/>
    </xf>
    <xf numFmtId="165" fontId="0" fillId="3" borderId="0" xfId="0" applyNumberFormat="1" applyFill="1" applyProtection="1"/>
    <xf numFmtId="0" fontId="0" fillId="3" borderId="0" xfId="0" applyFill="1" applyProtection="1"/>
    <xf numFmtId="165" fontId="0" fillId="3" borderId="0" xfId="0" applyNumberFormat="1" applyFont="1" applyFill="1" applyProtection="1"/>
    <xf numFmtId="9" fontId="0" fillId="3" borderId="0" xfId="0" applyNumberFormat="1" applyFill="1" applyProtection="1">
      <protection hidden="1"/>
    </xf>
    <xf numFmtId="10" fontId="0" fillId="3" borderId="0" xfId="0" applyNumberFormat="1" applyFill="1" applyProtection="1">
      <protection hidden="1"/>
    </xf>
    <xf numFmtId="164" fontId="0" fillId="3" borderId="0" xfId="0" applyNumberFormat="1" applyFill="1" applyProtection="1"/>
    <xf numFmtId="9" fontId="0" fillId="3" borderId="0" xfId="0" applyNumberFormat="1" applyFill="1" applyProtection="1"/>
    <xf numFmtId="0" fontId="0" fillId="3" borderId="0" xfId="0" applyFont="1" applyFill="1" applyProtection="1"/>
    <xf numFmtId="0" fontId="0" fillId="0" borderId="0" xfId="0" applyFill="1" applyProtection="1">
      <protection locked="0"/>
    </xf>
    <xf numFmtId="164" fontId="0" fillId="0" borderId="0" xfId="0" applyNumberFormat="1" applyFill="1" applyProtection="1">
      <protection locked="0"/>
    </xf>
    <xf numFmtId="164" fontId="0" fillId="3" borderId="0" xfId="0" applyNumberFormat="1" applyFill="1" applyProtection="1">
      <protection hidden="1"/>
    </xf>
    <xf numFmtId="0" fontId="0" fillId="3" borderId="0" xfId="0" applyFill="1" applyAlignment="1" applyProtection="1">
      <alignment horizontal="right"/>
      <protection hidden="1"/>
    </xf>
    <xf numFmtId="0" fontId="0" fillId="3" borderId="0" xfId="0" applyFill="1"/>
    <xf numFmtId="14" fontId="0" fillId="3" borderId="0" xfId="0" applyNumberFormat="1" applyFill="1"/>
    <xf numFmtId="164" fontId="0" fillId="3" borderId="0" xfId="0" applyNumberFormat="1" applyFill="1"/>
    <xf numFmtId="9" fontId="0" fillId="3" borderId="0" xfId="0" applyNumberFormat="1" applyFill="1"/>
    <xf numFmtId="165" fontId="0" fillId="3" borderId="0" xfId="0" applyNumberFormat="1" applyFill="1"/>
    <xf numFmtId="165" fontId="0" fillId="3" borderId="0" xfId="0" applyNumberFormat="1" applyFill="1" applyProtection="1">
      <protection hidden="1"/>
    </xf>
    <xf numFmtId="164" fontId="0" fillId="0" borderId="0" xfId="0" applyNumberFormat="1" applyFont="1" applyFill="1" applyProtection="1">
      <protection locked="0"/>
    </xf>
    <xf numFmtId="164" fontId="6" fillId="3" borderId="0" xfId="0" applyNumberFormat="1" applyFont="1" applyFill="1"/>
    <xf numFmtId="6" fontId="0" fillId="3" borderId="0" xfId="0" applyNumberFormat="1" applyFill="1" applyProtection="1">
      <protection hidden="1"/>
    </xf>
    <xf numFmtId="6" fontId="1" fillId="3" borderId="0" xfId="0" applyNumberFormat="1" applyFont="1" applyFill="1" applyProtection="1">
      <protection hidden="1"/>
    </xf>
    <xf numFmtId="0" fontId="7" fillId="3" borderId="0" xfId="0" applyFont="1" applyFill="1"/>
    <xf numFmtId="10" fontId="0" fillId="3" borderId="0" xfId="0" applyNumberFormat="1" applyFill="1"/>
    <xf numFmtId="164" fontId="8" fillId="3" borderId="0" xfId="0" applyNumberFormat="1" applyFont="1" applyFill="1" applyProtection="1"/>
    <xf numFmtId="166" fontId="0" fillId="3" borderId="0" xfId="0" applyNumberFormat="1" applyFill="1" applyProtection="1">
      <protection hidden="1"/>
    </xf>
    <xf numFmtId="3" fontId="0" fillId="3" borderId="0" xfId="0" applyNumberFormat="1" applyFill="1" applyProtection="1">
      <protection hidden="1"/>
    </xf>
    <xf numFmtId="5" fontId="0" fillId="3" borderId="0" xfId="0" applyNumberFormat="1" applyFill="1" applyProtection="1">
      <protection hidden="1"/>
    </xf>
    <xf numFmtId="3" fontId="0" fillId="3" borderId="0" xfId="0" applyNumberFormat="1" applyFill="1"/>
    <xf numFmtId="164" fontId="0" fillId="0" borderId="0" xfId="0" applyNumberFormat="1" applyFill="1" applyBorder="1" applyProtection="1">
      <protection locked="0"/>
    </xf>
    <xf numFmtId="0" fontId="0" fillId="3" borderId="0" xfId="0" applyFill="1" applyAlignment="1" applyProtection="1">
      <alignment vertical="top"/>
      <protection hidden="1"/>
    </xf>
    <xf numFmtId="6" fontId="0" fillId="3" borderId="0" xfId="0" applyNumberFormat="1" applyFill="1" applyAlignment="1" applyProtection="1">
      <alignment vertical="top"/>
      <protection hidden="1"/>
    </xf>
    <xf numFmtId="0" fontId="0" fillId="3" borderId="0" xfId="0" applyFill="1" applyAlignment="1" applyProtection="1">
      <alignment vertical="top"/>
    </xf>
    <xf numFmtId="0" fontId="5" fillId="3" borderId="0" xfId="0" applyFont="1" applyFill="1" applyAlignment="1" applyProtection="1">
      <alignment vertical="top"/>
    </xf>
    <xf numFmtId="165" fontId="0" fillId="3" borderId="0" xfId="0" applyNumberFormat="1" applyFill="1" applyAlignment="1" applyProtection="1">
      <alignment vertical="top"/>
    </xf>
    <xf numFmtId="164" fontId="0" fillId="0" borderId="0" xfId="0" applyNumberFormat="1" applyFont="1" applyFill="1" applyAlignment="1" applyProtection="1">
      <alignment vertical="top"/>
      <protection locked="0"/>
    </xf>
    <xf numFmtId="164" fontId="0" fillId="0" borderId="0" xfId="0" applyNumberFormat="1" applyFill="1" applyAlignment="1" applyProtection="1">
      <alignment vertical="top"/>
      <protection locked="0"/>
    </xf>
    <xf numFmtId="164" fontId="0" fillId="3" borderId="0" xfId="0" applyNumberFormat="1" applyFill="1" applyAlignment="1" applyProtection="1">
      <alignment vertical="top"/>
      <protection hidden="1"/>
    </xf>
    <xf numFmtId="9" fontId="0" fillId="3" borderId="0" xfId="0" applyNumberFormat="1" applyFill="1" applyAlignment="1" applyProtection="1">
      <alignment vertical="top"/>
      <protection hidden="1"/>
    </xf>
    <xf numFmtId="165" fontId="0" fillId="3" borderId="0" xfId="0" applyNumberFormat="1" applyFill="1" applyAlignment="1" applyProtection="1">
      <alignment vertical="top"/>
      <protection hidden="1"/>
    </xf>
    <xf numFmtId="0" fontId="5" fillId="3" borderId="0" xfId="0" applyFont="1" applyFill="1"/>
    <xf numFmtId="10" fontId="0" fillId="3" borderId="0" xfId="0" applyNumberFormat="1" applyFill="1" applyProtection="1"/>
    <xf numFmtId="0" fontId="5" fillId="3" borderId="0" xfId="0" applyFont="1" applyFill="1"/>
    <xf numFmtId="164" fontId="6" fillId="3" borderId="0" xfId="0" applyNumberFormat="1" applyFont="1" applyFill="1" applyProtection="1"/>
    <xf numFmtId="42" fontId="0" fillId="3" borderId="0" xfId="0" applyNumberFormat="1" applyFill="1" applyProtection="1"/>
    <xf numFmtId="42" fontId="6" fillId="3" borderId="0" xfId="0" applyNumberFormat="1" applyFont="1" applyFill="1" applyProtection="1"/>
    <xf numFmtId="42" fontId="0" fillId="3" borderId="0" xfId="0" applyNumberFormat="1" applyFill="1" applyProtection="1">
      <protection hidden="1"/>
    </xf>
    <xf numFmtId="0" fontId="5" fillId="3" borderId="0" xfId="0" applyFont="1" applyFill="1"/>
    <xf numFmtId="0" fontId="5" fillId="3" borderId="0" xfId="0" applyFont="1" applyFill="1"/>
    <xf numFmtId="0" fontId="0" fillId="3" borderId="0" xfId="0" applyFill="1" applyBorder="1"/>
    <xf numFmtId="6" fontId="0" fillId="3" borderId="1" xfId="0" applyNumberFormat="1" applyFill="1" applyBorder="1" applyProtection="1">
      <protection hidden="1"/>
    </xf>
    <xf numFmtId="0" fontId="0" fillId="3" borderId="1" xfId="0" applyFill="1" applyBorder="1" applyProtection="1">
      <protection hidden="1"/>
    </xf>
    <xf numFmtId="165" fontId="0" fillId="0" borderId="3" xfId="0" applyNumberFormat="1" applyFill="1" applyBorder="1" applyProtection="1">
      <protection locked="0"/>
    </xf>
    <xf numFmtId="165" fontId="0" fillId="3" borderId="3" xfId="0" applyNumberFormat="1" applyFill="1" applyBorder="1" applyProtection="1"/>
    <xf numFmtId="164" fontId="0" fillId="3" borderId="3" xfId="0" applyNumberFormat="1" applyFill="1" applyBorder="1" applyAlignment="1" applyProtection="1">
      <alignment horizontal="right"/>
    </xf>
    <xf numFmtId="0" fontId="5" fillId="3" borderId="0" xfId="0" applyFont="1" applyFill="1" applyBorder="1"/>
    <xf numFmtId="10" fontId="0" fillId="3" borderId="0" xfId="0" applyNumberFormat="1" applyFill="1" applyBorder="1" applyProtection="1"/>
    <xf numFmtId="164" fontId="0" fillId="4" borderId="0" xfId="0" applyNumberFormat="1" applyFill="1" applyProtection="1">
      <protection hidden="1"/>
    </xf>
    <xf numFmtId="164" fontId="6" fillId="4" borderId="0" xfId="0" applyNumberFormat="1" applyFont="1" applyFill="1" applyProtection="1">
      <protection hidden="1"/>
    </xf>
    <xf numFmtId="42" fontId="0" fillId="3" borderId="0" xfId="0" applyNumberFormat="1" applyFill="1"/>
    <xf numFmtId="0" fontId="5" fillId="3" borderId="0" xfId="0" applyFont="1" applyFill="1" applyAlignment="1">
      <alignment horizontal="left"/>
    </xf>
    <xf numFmtId="1" fontId="5" fillId="3" borderId="0" xfId="0" applyNumberFormat="1" applyFont="1" applyFill="1"/>
    <xf numFmtId="1" fontId="5" fillId="3" borderId="0" xfId="0" applyNumberFormat="1" applyFont="1" applyFill="1" applyAlignment="1">
      <alignment horizontal="center"/>
    </xf>
    <xf numFmtId="0" fontId="0" fillId="3" borderId="0" xfId="0" applyFill="1" applyAlignment="1">
      <alignment horizontal="center"/>
    </xf>
    <xf numFmtId="0" fontId="5" fillId="3" borderId="0" xfId="0" applyFont="1" applyFill="1" applyAlignment="1">
      <alignment horizontal="center"/>
    </xf>
    <xf numFmtId="0" fontId="5" fillId="3" borderId="0" xfId="0" applyFont="1" applyFill="1" applyAlignment="1"/>
    <xf numFmtId="0" fontId="5" fillId="3" borderId="0" xfId="0" applyFont="1" applyFill="1" applyAlignment="1">
      <alignment horizontal="right"/>
    </xf>
    <xf numFmtId="1" fontId="5" fillId="3" borderId="5" xfId="0" applyNumberFormat="1" applyFont="1" applyFill="1" applyBorder="1" applyAlignment="1">
      <alignment horizontal="right"/>
    </xf>
    <xf numFmtId="0" fontId="5" fillId="3" borderId="5" xfId="0" applyFont="1" applyFill="1" applyBorder="1"/>
    <xf numFmtId="0" fontId="0" fillId="3" borderId="5" xfId="0" applyFill="1" applyBorder="1"/>
    <xf numFmtId="0" fontId="5" fillId="3" borderId="1" xfId="0" applyFont="1" applyFill="1" applyBorder="1" applyAlignment="1">
      <alignment horizontal="right"/>
    </xf>
    <xf numFmtId="1" fontId="5" fillId="3" borderId="2" xfId="0" applyNumberFormat="1" applyFont="1" applyFill="1" applyBorder="1" applyAlignment="1">
      <alignment horizontal="right"/>
    </xf>
    <xf numFmtId="1" fontId="5" fillId="3" borderId="1" xfId="0" applyNumberFormat="1" applyFont="1" applyFill="1" applyBorder="1"/>
    <xf numFmtId="0" fontId="0" fillId="3" borderId="1" xfId="0" applyFill="1" applyBorder="1"/>
    <xf numFmtId="164" fontId="3" fillId="0" borderId="0" xfId="0" applyNumberFormat="1" applyFont="1" applyFill="1" applyBorder="1" applyProtection="1">
      <protection locked="0"/>
    </xf>
    <xf numFmtId="164" fontId="3" fillId="0" borderId="0" xfId="0" applyNumberFormat="1" applyFont="1" applyFill="1" applyProtection="1">
      <protection locked="0"/>
    </xf>
    <xf numFmtId="3" fontId="5" fillId="3" borderId="0" xfId="0" applyNumberFormat="1" applyFont="1" applyFill="1"/>
    <xf numFmtId="3" fontId="5" fillId="3" borderId="5" xfId="0" applyNumberFormat="1" applyFont="1" applyFill="1" applyBorder="1"/>
    <xf numFmtId="3" fontId="5" fillId="3" borderId="1" xfId="0" applyNumberFormat="1" applyFont="1" applyFill="1" applyBorder="1"/>
    <xf numFmtId="0" fontId="5" fillId="0" borderId="6" xfId="0" applyFont="1" applyFill="1" applyBorder="1" applyAlignment="1" applyProtection="1">
      <alignment horizontal="center"/>
      <protection locked="0" hidden="1"/>
    </xf>
    <xf numFmtId="0" fontId="5" fillId="3" borderId="7" xfId="0" applyFont="1" applyFill="1" applyBorder="1" applyAlignment="1" applyProtection="1">
      <alignment horizontal="center"/>
      <protection hidden="1"/>
    </xf>
    <xf numFmtId="0" fontId="5" fillId="0" borderId="0" xfId="0" applyFont="1" applyFill="1" applyBorder="1" applyAlignment="1" applyProtection="1">
      <alignment horizontal="center"/>
      <protection locked="0"/>
    </xf>
    <xf numFmtId="0" fontId="0" fillId="3" borderId="0" xfId="0" applyFill="1" applyAlignment="1">
      <alignment horizontal="right"/>
    </xf>
    <xf numFmtId="42" fontId="6" fillId="5" borderId="0" xfId="0" applyNumberFormat="1" applyFont="1" applyFill="1" applyProtection="1"/>
    <xf numFmtId="3" fontId="5" fillId="3" borderId="1" xfId="0" applyNumberFormat="1" applyFont="1" applyFill="1" applyBorder="1" applyProtection="1"/>
    <xf numFmtId="0" fontId="9" fillId="0" borderId="0" xfId="0" applyFont="1"/>
    <xf numFmtId="42" fontId="0" fillId="0" borderId="0" xfId="0" applyNumberFormat="1" applyFont="1" applyFill="1" applyProtection="1">
      <protection locked="0"/>
    </xf>
    <xf numFmtId="0" fontId="2" fillId="0" borderId="0" xfId="0" applyFont="1"/>
    <xf numFmtId="164" fontId="8" fillId="0" borderId="0" xfId="0" applyNumberFormat="1" applyFont="1" applyFill="1" applyProtection="1">
      <protection locked="0"/>
    </xf>
    <xf numFmtId="10" fontId="0" fillId="3" borderId="0" xfId="0" applyNumberFormat="1" applyFill="1" applyBorder="1" applyAlignment="1" applyProtection="1">
      <alignment horizontal="right"/>
    </xf>
    <xf numFmtId="3" fontId="0" fillId="3" borderId="0" xfId="0" applyNumberFormat="1" applyFill="1" applyBorder="1" applyProtection="1"/>
    <xf numFmtId="10" fontId="9" fillId="0" borderId="0" xfId="0" applyNumberFormat="1" applyFont="1"/>
    <xf numFmtId="42" fontId="6" fillId="2" borderId="0" xfId="0" applyNumberFormat="1" applyFont="1" applyFill="1" applyProtection="1"/>
    <xf numFmtId="0" fontId="5" fillId="0" borderId="0" xfId="0" applyFont="1"/>
    <xf numFmtId="164" fontId="8" fillId="0" borderId="0" xfId="0" applyNumberFormat="1" applyFont="1" applyFill="1" applyBorder="1" applyProtection="1">
      <protection locked="0"/>
    </xf>
    <xf numFmtId="0" fontId="12" fillId="0" borderId="0" xfId="2" applyFont="1"/>
    <xf numFmtId="0" fontId="2" fillId="0" borderId="0" xfId="2" applyFont="1"/>
    <xf numFmtId="1" fontId="9" fillId="0" borderId="0" xfId="0" applyNumberFormat="1" applyFont="1"/>
    <xf numFmtId="0" fontId="1" fillId="3" borderId="0" xfId="0" applyFont="1" applyFill="1" applyProtection="1"/>
    <xf numFmtId="0" fontId="1" fillId="3" borderId="0" xfId="0" applyFont="1" applyFill="1" applyProtection="1">
      <protection hidden="1"/>
    </xf>
    <xf numFmtId="0" fontId="1" fillId="3" borderId="0" xfId="0" applyFont="1" applyFill="1"/>
    <xf numFmtId="0" fontId="10" fillId="3" borderId="0" xfId="0" applyFont="1" applyFill="1" applyProtection="1">
      <protection hidden="1"/>
    </xf>
    <xf numFmtId="1" fontId="1" fillId="3" borderId="0" xfId="0" applyNumberFormat="1" applyFont="1" applyFill="1" applyProtection="1">
      <protection hidden="1"/>
    </xf>
    <xf numFmtId="9" fontId="1" fillId="3" borderId="0" xfId="0" applyNumberFormat="1" applyFont="1" applyFill="1" applyProtection="1">
      <protection hidden="1"/>
    </xf>
    <xf numFmtId="164" fontId="1" fillId="3" borderId="0" xfId="0" applyNumberFormat="1" applyFont="1" applyFill="1" applyProtection="1">
      <protection hidden="1"/>
    </xf>
    <xf numFmtId="3" fontId="1" fillId="3" borderId="0" xfId="0" applyNumberFormat="1" applyFont="1" applyFill="1" applyProtection="1">
      <protection hidden="1"/>
    </xf>
    <xf numFmtId="1" fontId="0" fillId="3" borderId="3" xfId="0" applyNumberFormat="1" applyFill="1" applyBorder="1" applyProtection="1"/>
    <xf numFmtId="10" fontId="0" fillId="0" borderId="3" xfId="0" applyNumberFormat="1" applyFill="1" applyBorder="1" applyProtection="1">
      <protection locked="0"/>
    </xf>
    <xf numFmtId="10" fontId="13" fillId="3" borderId="0" xfId="0" applyNumberFormat="1" applyFont="1" applyFill="1" applyProtection="1"/>
    <xf numFmtId="165" fontId="9" fillId="0" borderId="0" xfId="0" applyNumberFormat="1" applyFont="1"/>
    <xf numFmtId="0" fontId="9" fillId="0" borderId="0" xfId="0" applyFont="1" applyFill="1"/>
    <xf numFmtId="0" fontId="0" fillId="0" borderId="0" xfId="0" applyFill="1"/>
    <xf numFmtId="165" fontId="9" fillId="0" borderId="0" xfId="0" applyNumberFormat="1" applyFont="1" applyFill="1"/>
    <xf numFmtId="164" fontId="0" fillId="3" borderId="0" xfId="0" applyNumberFormat="1" applyFont="1" applyFill="1" applyProtection="1"/>
    <xf numFmtId="2" fontId="9" fillId="0" borderId="0" xfId="0" applyNumberFormat="1" applyFont="1" applyFill="1"/>
    <xf numFmtId="2" fontId="0" fillId="0" borderId="0" xfId="0" applyNumberFormat="1" applyFont="1" applyFill="1"/>
    <xf numFmtId="169" fontId="1" fillId="3" borderId="0" xfId="0" applyNumberFormat="1" applyFont="1" applyFill="1" applyProtection="1">
      <protection hidden="1"/>
    </xf>
    <xf numFmtId="6" fontId="1" fillId="3" borderId="0" xfId="0" applyNumberFormat="1" applyFont="1" applyFill="1" applyProtection="1"/>
    <xf numFmtId="164" fontId="0" fillId="4" borderId="8" xfId="0" applyNumberFormat="1" applyFill="1" applyBorder="1" applyProtection="1">
      <protection hidden="1"/>
    </xf>
    <xf numFmtId="164" fontId="0" fillId="4" borderId="0" xfId="0" applyNumberFormat="1" applyFill="1" applyBorder="1" applyProtection="1">
      <protection hidden="1"/>
    </xf>
    <xf numFmtId="170" fontId="0" fillId="4" borderId="0" xfId="0" applyNumberFormat="1" applyFill="1" applyBorder="1" applyProtection="1">
      <protection hidden="1"/>
    </xf>
    <xf numFmtId="3" fontId="0" fillId="4" borderId="0" xfId="0" applyNumberFormat="1" applyFill="1" applyBorder="1" applyProtection="1">
      <protection hidden="1"/>
    </xf>
    <xf numFmtId="165" fontId="0" fillId="4" borderId="3" xfId="0" applyNumberFormat="1" applyFill="1" applyBorder="1" applyProtection="1">
      <protection hidden="1"/>
    </xf>
    <xf numFmtId="165" fontId="0" fillId="4" borderId="1" xfId="0" applyNumberFormat="1" applyFill="1" applyBorder="1" applyProtection="1">
      <protection hidden="1"/>
    </xf>
    <xf numFmtId="6" fontId="0" fillId="4" borderId="3" xfId="0" applyNumberFormat="1" applyFill="1" applyBorder="1" applyProtection="1">
      <protection hidden="1"/>
    </xf>
    <xf numFmtId="0" fontId="0" fillId="4" borderId="0" xfId="0" applyFill="1" applyBorder="1" applyProtection="1"/>
    <xf numFmtId="0" fontId="0" fillId="4" borderId="0" xfId="0" applyFill="1" applyBorder="1" applyProtection="1">
      <protection hidden="1"/>
    </xf>
    <xf numFmtId="164" fontId="0" fillId="6" borderId="10" xfId="0" applyNumberFormat="1" applyFill="1" applyBorder="1" applyProtection="1">
      <protection hidden="1"/>
    </xf>
    <xf numFmtId="164" fontId="0" fillId="6" borderId="11" xfId="0" applyNumberFormat="1" applyFill="1" applyBorder="1" applyProtection="1">
      <protection hidden="1"/>
    </xf>
    <xf numFmtId="3" fontId="0" fillId="6" borderId="11" xfId="0" applyNumberFormat="1" applyFill="1" applyBorder="1" applyProtection="1">
      <protection hidden="1"/>
    </xf>
    <xf numFmtId="170" fontId="0" fillId="6" borderId="6" xfId="0" applyNumberFormat="1" applyFill="1" applyBorder="1" applyProtection="1">
      <protection hidden="1"/>
    </xf>
    <xf numFmtId="0" fontId="0" fillId="6" borderId="7" xfId="0" applyFill="1" applyBorder="1" applyProtection="1">
      <protection hidden="1"/>
    </xf>
    <xf numFmtId="6" fontId="2" fillId="0" borderId="0" xfId="0" applyNumberFormat="1" applyFont="1" applyFill="1"/>
    <xf numFmtId="0" fontId="0" fillId="0" borderId="0" xfId="0" applyFont="1" applyFill="1"/>
    <xf numFmtId="6" fontId="0" fillId="4" borderId="3" xfId="0" applyNumberFormat="1" applyFill="1" applyBorder="1" applyProtection="1"/>
    <xf numFmtId="1" fontId="2" fillId="0" borderId="0" xfId="0" applyNumberFormat="1" applyFont="1" applyFill="1"/>
    <xf numFmtId="3" fontId="5" fillId="0" borderId="1" xfId="0" applyNumberFormat="1" applyFont="1" applyFill="1" applyBorder="1" applyProtection="1">
      <protection locked="0"/>
    </xf>
    <xf numFmtId="3" fontId="5" fillId="0" borderId="2" xfId="0" applyNumberFormat="1" applyFont="1" applyFill="1" applyBorder="1" applyProtection="1">
      <protection locked="0"/>
    </xf>
    <xf numFmtId="3" fontId="5" fillId="0" borderId="0" xfId="0" applyNumberFormat="1" applyFont="1" applyFill="1" applyBorder="1" applyProtection="1">
      <protection locked="0"/>
    </xf>
    <xf numFmtId="3" fontId="5" fillId="3" borderId="8" xfId="0" applyNumberFormat="1" applyFont="1" applyFill="1" applyBorder="1"/>
    <xf numFmtId="42" fontId="6" fillId="0" borderId="0" xfId="0" applyNumberFormat="1" applyFont="1" applyFill="1" applyProtection="1">
      <protection locked="0"/>
    </xf>
    <xf numFmtId="42" fontId="0" fillId="0" borderId="0" xfId="0" applyNumberFormat="1" applyFill="1" applyProtection="1">
      <protection locked="0"/>
    </xf>
    <xf numFmtId="3" fontId="5" fillId="3" borderId="0" xfId="0" applyNumberFormat="1" applyFont="1" applyFill="1" applyBorder="1"/>
    <xf numFmtId="0" fontId="15" fillId="3" borderId="0" xfId="0" applyFont="1" applyFill="1"/>
    <xf numFmtId="1" fontId="0" fillId="3" borderId="1" xfId="0" applyNumberFormat="1" applyFont="1" applyFill="1" applyBorder="1"/>
    <xf numFmtId="0" fontId="0" fillId="3" borderId="0" xfId="0" applyFont="1" applyFill="1"/>
    <xf numFmtId="1" fontId="5" fillId="3" borderId="2" xfId="0" applyNumberFormat="1" applyFont="1" applyFill="1" applyBorder="1"/>
    <xf numFmtId="3" fontId="0" fillId="0" borderId="0" xfId="0" applyNumberFormat="1" applyFont="1" applyFill="1" applyProtection="1">
      <protection locked="0"/>
    </xf>
    <xf numFmtId="3" fontId="15" fillId="3" borderId="1" xfId="0" applyNumberFormat="1" applyFont="1" applyFill="1" applyBorder="1" applyProtection="1"/>
    <xf numFmtId="0" fontId="0" fillId="3" borderId="12" xfId="0" applyFill="1" applyBorder="1" applyProtection="1">
      <protection hidden="1"/>
    </xf>
    <xf numFmtId="165" fontId="0" fillId="3" borderId="4" xfId="0" applyNumberFormat="1" applyFill="1" applyBorder="1" applyAlignment="1" applyProtection="1">
      <alignment vertical="top"/>
      <protection hidden="1"/>
    </xf>
    <xf numFmtId="0" fontId="0" fillId="3" borderId="0" xfId="0" applyFill="1" applyBorder="1" applyProtection="1">
      <protection hidden="1"/>
    </xf>
    <xf numFmtId="42" fontId="0" fillId="3" borderId="0" xfId="0" applyNumberFormat="1" applyFill="1" applyBorder="1" applyProtection="1"/>
    <xf numFmtId="9" fontId="0" fillId="3" borderId="3" xfId="0" applyNumberFormat="1" applyFill="1" applyBorder="1" applyProtection="1"/>
    <xf numFmtId="166" fontId="0" fillId="3" borderId="0" xfId="0" applyNumberFormat="1" applyFill="1" applyAlignment="1" applyProtection="1">
      <alignment horizontal="left"/>
      <protection hidden="1"/>
    </xf>
    <xf numFmtId="3" fontId="0" fillId="3" borderId="0" xfId="0" applyNumberFormat="1" applyFill="1" applyAlignment="1" applyProtection="1">
      <alignment vertical="top"/>
      <protection hidden="1"/>
    </xf>
    <xf numFmtId="164" fontId="0" fillId="0" borderId="0" xfId="0" applyNumberFormat="1" applyFont="1" applyFill="1" applyBorder="1" applyProtection="1">
      <protection locked="0"/>
    </xf>
    <xf numFmtId="0" fontId="0" fillId="3" borderId="0" xfId="0" applyFill="1" applyAlignment="1" applyProtection="1">
      <alignment vertical="center"/>
    </xf>
    <xf numFmtId="164" fontId="8" fillId="0" borderId="0" xfId="0" applyNumberFormat="1" applyFont="1" applyFill="1" applyAlignment="1" applyProtection="1">
      <alignment vertical="center"/>
      <protection locked="0"/>
    </xf>
    <xf numFmtId="164" fontId="0" fillId="0" borderId="0" xfId="0" applyNumberFormat="1" applyFill="1" applyAlignment="1" applyProtection="1">
      <alignment vertical="center"/>
      <protection locked="0"/>
    </xf>
    <xf numFmtId="0" fontId="0" fillId="3" borderId="0" xfId="0" applyFill="1" applyAlignment="1" applyProtection="1">
      <alignment vertical="center"/>
      <protection hidden="1"/>
    </xf>
    <xf numFmtId="6" fontId="0" fillId="3" borderId="0" xfId="0" applyNumberFormat="1" applyFill="1" applyAlignment="1" applyProtection="1">
      <alignment vertical="center"/>
      <protection hidden="1"/>
    </xf>
    <xf numFmtId="3" fontId="0" fillId="3" borderId="0" xfId="0" applyNumberFormat="1" applyFont="1" applyFill="1" applyProtection="1"/>
    <xf numFmtId="0" fontId="0" fillId="3" borderId="3" xfId="0" applyFill="1" applyBorder="1" applyProtection="1">
      <protection hidden="1"/>
    </xf>
    <xf numFmtId="0" fontId="5" fillId="3" borderId="6" xfId="0" applyFont="1" applyFill="1" applyBorder="1" applyProtection="1">
      <protection hidden="1"/>
    </xf>
    <xf numFmtId="165" fontId="0" fillId="0" borderId="12" xfId="0" applyNumberFormat="1" applyFont="1" applyFill="1" applyBorder="1" applyAlignment="1" applyProtection="1">
      <alignment horizontal="right"/>
      <protection locked="0"/>
    </xf>
    <xf numFmtId="165" fontId="0" fillId="3" borderId="4" xfId="0" applyNumberFormat="1" applyFill="1" applyBorder="1" applyProtection="1">
      <protection hidden="1"/>
    </xf>
    <xf numFmtId="2" fontId="0" fillId="3" borderId="0" xfId="0" applyNumberFormat="1" applyFill="1"/>
    <xf numFmtId="6" fontId="0" fillId="3" borderId="0" xfId="0" applyNumberFormat="1" applyFill="1"/>
    <xf numFmtId="9" fontId="6" fillId="3" borderId="0" xfId="0" applyNumberFormat="1" applyFont="1" applyFill="1" applyProtection="1">
      <protection hidden="1"/>
    </xf>
    <xf numFmtId="9" fontId="0" fillId="0" borderId="3" xfId="0" applyNumberFormat="1" applyFill="1" applyBorder="1" applyProtection="1">
      <protection locked="0"/>
    </xf>
    <xf numFmtId="5" fontId="0" fillId="3" borderId="4" xfId="0" applyNumberFormat="1" applyFill="1" applyBorder="1" applyProtection="1">
      <protection hidden="1"/>
    </xf>
    <xf numFmtId="164" fontId="0" fillId="3" borderId="0" xfId="0" applyNumberFormat="1" applyFill="1" applyBorder="1" applyAlignment="1" applyProtection="1">
      <alignment horizontal="right"/>
    </xf>
    <xf numFmtId="165" fontId="0" fillId="3" borderId="0" xfId="0" applyNumberFormat="1" applyFill="1" applyBorder="1" applyProtection="1">
      <protection hidden="1"/>
    </xf>
    <xf numFmtId="165" fontId="0" fillId="3" borderId="0" xfId="0" applyNumberFormat="1" applyFill="1" applyBorder="1" applyProtection="1"/>
    <xf numFmtId="0" fontId="5" fillId="3" borderId="0" xfId="0" applyFont="1" applyFill="1" applyBorder="1"/>
    <xf numFmtId="3" fontId="5" fillId="3" borderId="1" xfId="0" applyNumberFormat="1" applyFont="1" applyFill="1" applyBorder="1" applyProtection="1">
      <protection hidden="1"/>
    </xf>
    <xf numFmtId="3" fontId="5" fillId="3" borderId="0" xfId="0" applyNumberFormat="1" applyFont="1" applyFill="1" applyProtection="1">
      <protection hidden="1"/>
    </xf>
    <xf numFmtId="1" fontId="5" fillId="3" borderId="5" xfId="0" applyNumberFormat="1" applyFont="1" applyFill="1" applyBorder="1"/>
    <xf numFmtId="3" fontId="5" fillId="3" borderId="13" xfId="0" applyNumberFormat="1" applyFont="1" applyFill="1" applyBorder="1" applyProtection="1"/>
    <xf numFmtId="3" fontId="5" fillId="3" borderId="13" xfId="0" applyNumberFormat="1" applyFont="1" applyFill="1" applyBorder="1" applyProtection="1">
      <protection hidden="1"/>
    </xf>
    <xf numFmtId="6" fontId="16" fillId="3" borderId="0" xfId="0" applyNumberFormat="1" applyFont="1" applyFill="1" applyProtection="1">
      <protection hidden="1"/>
    </xf>
    <xf numFmtId="6" fontId="0" fillId="3" borderId="0" xfId="0" applyNumberFormat="1" applyFont="1" applyFill="1" applyProtection="1">
      <protection hidden="1"/>
    </xf>
    <xf numFmtId="0" fontId="17" fillId="0" borderId="0" xfId="0" applyFont="1"/>
    <xf numFmtId="167" fontId="0" fillId="3" borderId="0" xfId="0" applyNumberFormat="1" applyFill="1" applyAlignment="1" applyProtection="1">
      <alignment vertical="top"/>
      <protection hidden="1"/>
    </xf>
    <xf numFmtId="165" fontId="0" fillId="0" borderId="0" xfId="0" applyNumberFormat="1" applyFill="1" applyProtection="1">
      <protection locked="0"/>
    </xf>
    <xf numFmtId="171" fontId="0" fillId="3" borderId="1" xfId="0" applyNumberFormat="1" applyFill="1" applyBorder="1"/>
    <xf numFmtId="171" fontId="0" fillId="3" borderId="0" xfId="0" applyNumberFormat="1" applyFill="1" applyBorder="1"/>
    <xf numFmtId="171" fontId="0" fillId="4" borderId="3" xfId="0" applyNumberFormat="1" applyFill="1" applyBorder="1" applyProtection="1">
      <protection hidden="1"/>
    </xf>
    <xf numFmtId="10" fontId="0" fillId="0" borderId="0" xfId="0" applyNumberFormat="1" applyFill="1" applyBorder="1" applyProtection="1">
      <protection locked="0"/>
    </xf>
    <xf numFmtId="4" fontId="0" fillId="0" borderId="0" xfId="0" applyNumberFormat="1"/>
    <xf numFmtId="3" fontId="0" fillId="0" borderId="0" xfId="0" applyNumberFormat="1"/>
    <xf numFmtId="1" fontId="0" fillId="0" borderId="0" xfId="0" applyNumberFormat="1"/>
    <xf numFmtId="1" fontId="17" fillId="0" borderId="0" xfId="0" applyNumberFormat="1" applyFont="1"/>
    <xf numFmtId="0" fontId="0" fillId="3" borderId="14" xfId="0" applyFill="1" applyBorder="1"/>
    <xf numFmtId="0" fontId="0" fillId="3" borderId="15" xfId="0" applyFill="1" applyBorder="1"/>
    <xf numFmtId="3" fontId="0" fillId="0" borderId="13" xfId="0" applyNumberFormat="1" applyFont="1" applyFill="1" applyBorder="1" applyProtection="1">
      <protection locked="0"/>
    </xf>
    <xf numFmtId="0" fontId="0" fillId="3" borderId="8" xfId="0" applyFill="1" applyBorder="1"/>
    <xf numFmtId="3" fontId="0" fillId="0" borderId="1" xfId="0" applyNumberFormat="1" applyFont="1" applyFill="1" applyBorder="1" applyProtection="1">
      <protection locked="0"/>
    </xf>
    <xf numFmtId="0" fontId="0" fillId="3" borderId="9" xfId="0" applyFill="1" applyBorder="1"/>
    <xf numFmtId="3" fontId="0" fillId="0" borderId="2" xfId="0" applyNumberFormat="1" applyFont="1" applyFill="1" applyBorder="1" applyProtection="1">
      <protection locked="0"/>
    </xf>
    <xf numFmtId="165" fontId="0" fillId="0" borderId="4" xfId="0" applyNumberFormat="1" applyFill="1" applyBorder="1" applyProtection="1">
      <protection locked="0"/>
    </xf>
    <xf numFmtId="3" fontId="0" fillId="3" borderId="0" xfId="0" applyNumberFormat="1" applyFont="1" applyFill="1" applyBorder="1" applyProtection="1"/>
    <xf numFmtId="3" fontId="0" fillId="3" borderId="8" xfId="0" applyNumberFormat="1" applyFont="1" applyFill="1" applyBorder="1" applyProtection="1"/>
    <xf numFmtId="3" fontId="0" fillId="3" borderId="0" xfId="0" applyNumberFormat="1" applyFont="1" applyFill="1"/>
    <xf numFmtId="3" fontId="0" fillId="0" borderId="0" xfId="0" applyNumberFormat="1" applyFont="1" applyFill="1" applyBorder="1" applyProtection="1">
      <protection locked="0"/>
    </xf>
    <xf numFmtId="3" fontId="0" fillId="4" borderId="8" xfId="0" applyNumberFormat="1" applyFill="1" applyBorder="1" applyProtection="1">
      <protection hidden="1"/>
    </xf>
    <xf numFmtId="3" fontId="0" fillId="4" borderId="3" xfId="0" applyNumberFormat="1" applyFill="1" applyBorder="1" applyProtection="1">
      <protection hidden="1"/>
    </xf>
    <xf numFmtId="3" fontId="0" fillId="4" borderId="5" xfId="0" applyNumberFormat="1" applyFill="1" applyBorder="1" applyProtection="1">
      <protection hidden="1"/>
    </xf>
    <xf numFmtId="164" fontId="0" fillId="4" borderId="9" xfId="0" applyNumberFormat="1" applyFill="1" applyBorder="1" applyProtection="1">
      <protection hidden="1"/>
    </xf>
    <xf numFmtId="3" fontId="0" fillId="3" borderId="0" xfId="0" applyNumberFormat="1" applyFill="1" applyProtection="1"/>
    <xf numFmtId="5" fontId="1" fillId="3" borderId="0" xfId="0" applyNumberFormat="1" applyFont="1" applyFill="1" applyProtection="1">
      <protection hidden="1"/>
    </xf>
    <xf numFmtId="164" fontId="18" fillId="4" borderId="8" xfId="0" applyNumberFormat="1" applyFont="1" applyFill="1" applyBorder="1" applyProtection="1">
      <protection hidden="1"/>
    </xf>
    <xf numFmtId="167" fontId="0" fillId="3" borderId="0" xfId="0" applyNumberFormat="1" applyFill="1" applyProtection="1">
      <protection hidden="1"/>
    </xf>
    <xf numFmtId="0" fontId="0" fillId="3" borderId="0" xfId="0" applyFont="1" applyFill="1" applyProtection="1">
      <protection hidden="1"/>
    </xf>
    <xf numFmtId="0" fontId="5" fillId="3" borderId="0" xfId="0" applyFont="1" applyFill="1" applyAlignment="1" applyProtection="1">
      <alignment horizontal="left"/>
    </xf>
    <xf numFmtId="9" fontId="0" fillId="3" borderId="0" xfId="0" applyNumberFormat="1" applyFill="1" applyAlignment="1" applyProtection="1">
      <alignment horizontal="right"/>
    </xf>
    <xf numFmtId="5" fontId="0" fillId="3" borderId="0" xfId="0" applyNumberFormat="1" applyFill="1" applyProtection="1"/>
    <xf numFmtId="6" fontId="0" fillId="3" borderId="0" xfId="0" applyNumberFormat="1" applyFill="1" applyProtection="1"/>
    <xf numFmtId="172" fontId="0" fillId="3" borderId="0" xfId="0" applyNumberFormat="1" applyFill="1" applyProtection="1">
      <protection hidden="1"/>
    </xf>
    <xf numFmtId="165" fontId="0" fillId="3" borderId="1" xfId="0" applyNumberFormat="1" applyFill="1" applyBorder="1"/>
    <xf numFmtId="165" fontId="0" fillId="3" borderId="0" xfId="0" applyNumberFormat="1" applyFill="1" applyAlignment="1">
      <alignment horizontal="right"/>
    </xf>
    <xf numFmtId="0" fontId="5" fillId="3" borderId="14" xfId="0" applyFont="1" applyFill="1" applyBorder="1" applyProtection="1">
      <protection hidden="1"/>
    </xf>
    <xf numFmtId="0" fontId="5" fillId="3" borderId="15" xfId="0" applyFont="1" applyFill="1" applyBorder="1" applyProtection="1">
      <protection hidden="1"/>
    </xf>
    <xf numFmtId="42" fontId="0" fillId="3" borderId="13" xfId="0" applyNumberFormat="1" applyFill="1" applyBorder="1" applyProtection="1">
      <protection hidden="1"/>
    </xf>
    <xf numFmtId="0" fontId="5" fillId="3" borderId="8" xfId="0" applyFont="1" applyFill="1" applyBorder="1" applyProtection="1">
      <protection hidden="1"/>
    </xf>
    <xf numFmtId="42" fontId="0" fillId="3" borderId="1" xfId="0" applyNumberFormat="1" applyFill="1" applyBorder="1" applyProtection="1">
      <protection hidden="1"/>
    </xf>
    <xf numFmtId="0" fontId="5" fillId="3" borderId="9" xfId="0" applyFont="1" applyFill="1" applyBorder="1" applyProtection="1">
      <protection hidden="1"/>
    </xf>
    <xf numFmtId="0" fontId="0" fillId="3" borderId="5" xfId="0" applyFill="1" applyBorder="1" applyProtection="1">
      <protection hidden="1"/>
    </xf>
    <xf numFmtId="164" fontId="0" fillId="3" borderId="2" xfId="0" applyNumberFormat="1" applyFill="1" applyBorder="1" applyProtection="1">
      <protection hidden="1"/>
    </xf>
    <xf numFmtId="0" fontId="0" fillId="3" borderId="15" xfId="0" applyFill="1" applyBorder="1" applyProtection="1">
      <protection hidden="1"/>
    </xf>
    <xf numFmtId="164" fontId="0" fillId="3" borderId="13" xfId="0" applyNumberFormat="1" applyFill="1" applyBorder="1" applyProtection="1">
      <protection hidden="1"/>
    </xf>
    <xf numFmtId="164" fontId="0" fillId="3" borderId="1" xfId="0" applyNumberFormat="1" applyFill="1" applyBorder="1" applyProtection="1">
      <protection hidden="1"/>
    </xf>
    <xf numFmtId="42" fontId="0" fillId="3" borderId="2" xfId="0" applyNumberFormat="1" applyFill="1" applyBorder="1" applyProtection="1">
      <protection hidden="1"/>
    </xf>
    <xf numFmtId="0" fontId="0" fillId="3" borderId="0" xfId="0" applyFill="1" applyBorder="1" applyProtection="1"/>
    <xf numFmtId="173" fontId="0" fillId="3" borderId="0" xfId="0" applyNumberFormat="1" applyFill="1" applyProtection="1">
      <protection hidden="1"/>
    </xf>
    <xf numFmtId="42" fontId="1" fillId="0" borderId="0" xfId="0" applyNumberFormat="1" applyFont="1" applyFill="1" applyProtection="1">
      <protection locked="0"/>
    </xf>
    <xf numFmtId="0" fontId="2" fillId="0" borderId="0" xfId="2" applyFont="1" applyFill="1"/>
    <xf numFmtId="2" fontId="0" fillId="0" borderId="0" xfId="0" applyNumberFormat="1"/>
    <xf numFmtId="3" fontId="6" fillId="0" borderId="0" xfId="0" applyNumberFormat="1" applyFont="1"/>
    <xf numFmtId="3" fontId="2" fillId="0" borderId="0" xfId="2" applyNumberFormat="1" applyFont="1" applyFill="1"/>
    <xf numFmtId="172" fontId="0" fillId="0" borderId="0" xfId="0" applyNumberFormat="1" applyFill="1" applyBorder="1" applyProtection="1">
      <protection locked="0"/>
    </xf>
    <xf numFmtId="165" fontId="0" fillId="4" borderId="4" xfId="0" applyNumberFormat="1" applyFill="1" applyBorder="1" applyProtection="1"/>
    <xf numFmtId="174" fontId="0" fillId="0" borderId="0" xfId="0" applyNumberFormat="1" applyFont="1" applyFill="1"/>
    <xf numFmtId="43" fontId="0" fillId="3" borderId="0" xfId="3" applyFont="1" applyFill="1"/>
    <xf numFmtId="3" fontId="0" fillId="3" borderId="1" xfId="0" applyNumberFormat="1" applyFont="1" applyFill="1" applyBorder="1" applyProtection="1"/>
    <xf numFmtId="0" fontId="20" fillId="3" borderId="0" xfId="0" applyFont="1" applyFill="1"/>
    <xf numFmtId="165" fontId="0" fillId="3" borderId="0" xfId="0" applyNumberFormat="1" applyFill="1" applyAlignment="1" applyProtection="1">
      <alignment horizontal="right"/>
    </xf>
    <xf numFmtId="167" fontId="0" fillId="3" borderId="0" xfId="0" applyNumberFormat="1" applyFill="1"/>
    <xf numFmtId="3" fontId="0" fillId="4" borderId="4" xfId="0" applyNumberFormat="1" applyFill="1" applyBorder="1" applyProtection="1">
      <protection hidden="1"/>
    </xf>
    <xf numFmtId="164" fontId="0" fillId="4" borderId="8" xfId="0" applyNumberFormat="1" applyFont="1" applyFill="1" applyBorder="1" applyProtection="1">
      <protection hidden="1"/>
    </xf>
    <xf numFmtId="42" fontId="0" fillId="3" borderId="3" xfId="0" applyNumberFormat="1" applyFill="1" applyBorder="1" applyProtection="1"/>
    <xf numFmtId="3" fontId="9" fillId="0" borderId="0" xfId="0" applyNumberFormat="1" applyFont="1"/>
    <xf numFmtId="3" fontId="9" fillId="0" borderId="0" xfId="0" applyNumberFormat="1" applyFont="1" applyFill="1"/>
    <xf numFmtId="171" fontId="9" fillId="0" borderId="0" xfId="0" applyNumberFormat="1" applyFont="1"/>
    <xf numFmtId="171" fontId="0" fillId="0" borderId="0" xfId="0" applyNumberFormat="1"/>
    <xf numFmtId="1" fontId="2" fillId="0" borderId="0" xfId="0" applyNumberFormat="1" applyFont="1"/>
    <xf numFmtId="172" fontId="9" fillId="0" borderId="0" xfId="0" applyNumberFormat="1" applyFont="1"/>
    <xf numFmtId="171" fontId="2" fillId="0" borderId="0" xfId="0" applyNumberFormat="1" applyFont="1" applyAlignment="1">
      <alignment horizontal="right"/>
    </xf>
    <xf numFmtId="165" fontId="0" fillId="4" borderId="3" xfId="0" applyNumberFormat="1" applyFill="1" applyBorder="1" applyProtection="1"/>
    <xf numFmtId="165" fontId="0" fillId="4" borderId="8" xfId="0" applyNumberFormat="1" applyFill="1" applyBorder="1" applyProtection="1">
      <protection hidden="1"/>
    </xf>
    <xf numFmtId="172" fontId="0" fillId="0" borderId="0" xfId="0" applyNumberFormat="1"/>
    <xf numFmtId="0" fontId="0" fillId="4" borderId="14" xfId="0" applyFill="1" applyBorder="1" applyProtection="1">
      <protection hidden="1"/>
    </xf>
    <xf numFmtId="0" fontId="0" fillId="4" borderId="8" xfId="0" applyFill="1" applyBorder="1" applyProtection="1">
      <protection hidden="1"/>
    </xf>
    <xf numFmtId="0" fontId="0" fillId="4" borderId="8" xfId="0" applyFill="1" applyBorder="1" applyAlignment="1" applyProtection="1">
      <alignment vertical="top"/>
      <protection hidden="1"/>
    </xf>
    <xf numFmtId="0" fontId="0" fillId="4" borderId="8" xfId="0" applyFill="1" applyBorder="1" applyAlignment="1" applyProtection="1">
      <alignment vertical="center"/>
      <protection hidden="1"/>
    </xf>
    <xf numFmtId="0" fontId="0" fillId="4" borderId="9" xfId="0" applyFill="1" applyBorder="1" applyAlignment="1" applyProtection="1">
      <alignment vertical="center"/>
      <protection hidden="1"/>
    </xf>
    <xf numFmtId="165" fontId="0" fillId="4" borderId="12" xfId="0" applyNumberFormat="1" applyFill="1" applyBorder="1" applyProtection="1">
      <protection hidden="1"/>
    </xf>
    <xf numFmtId="165" fontId="0" fillId="4" borderId="3" xfId="0" applyNumberFormat="1" applyFill="1" applyBorder="1" applyAlignment="1" applyProtection="1">
      <alignment vertical="top"/>
      <protection hidden="1"/>
    </xf>
    <xf numFmtId="165" fontId="0" fillId="4" borderId="3" xfId="0" applyNumberFormat="1" applyFill="1" applyBorder="1" applyAlignment="1" applyProtection="1">
      <alignment vertical="center"/>
      <protection hidden="1"/>
    </xf>
    <xf numFmtId="165" fontId="0" fillId="4" borderId="4" xfId="0" applyNumberFormat="1" applyFill="1" applyBorder="1" applyAlignment="1" applyProtection="1">
      <alignment vertical="center"/>
      <protection hidden="1"/>
    </xf>
    <xf numFmtId="0" fontId="5" fillId="4" borderId="10" xfId="0" applyFont="1" applyFill="1" applyBorder="1" applyProtection="1">
      <protection hidden="1"/>
    </xf>
    <xf numFmtId="0" fontId="0" fillId="4" borderId="6" xfId="0" applyFill="1" applyBorder="1" applyProtection="1">
      <protection hidden="1"/>
    </xf>
    <xf numFmtId="0" fontId="0" fillId="3" borderId="0" xfId="0" applyNumberFormat="1" applyFill="1" applyProtection="1"/>
    <xf numFmtId="5" fontId="0" fillId="3" borderId="0" xfId="0" applyNumberFormat="1" applyFill="1"/>
    <xf numFmtId="170" fontId="0" fillId="6" borderId="7" xfId="0" applyNumberFormat="1" applyFill="1" applyBorder="1" applyProtection="1">
      <protection hidden="1"/>
    </xf>
    <xf numFmtId="3" fontId="0" fillId="4" borderId="1" xfId="0" applyNumberFormat="1" applyFill="1" applyBorder="1" applyProtection="1">
      <protection hidden="1"/>
    </xf>
    <xf numFmtId="0" fontId="10" fillId="3" borderId="0" xfId="0" applyFont="1" applyFill="1" applyAlignment="1" applyProtection="1">
      <alignment horizontal="center"/>
    </xf>
    <xf numFmtId="0" fontId="10" fillId="3" borderId="0" xfId="0" applyFont="1" applyFill="1" applyAlignment="1" applyProtection="1">
      <alignment horizontal="center"/>
      <protection hidden="1"/>
    </xf>
    <xf numFmtId="172" fontId="2" fillId="0" borderId="0" xfId="0" applyNumberFormat="1" applyFont="1" applyFill="1"/>
    <xf numFmtId="175" fontId="2" fillId="0" borderId="0" xfId="0" applyNumberFormat="1" applyFont="1" applyFill="1"/>
    <xf numFmtId="2" fontId="0" fillId="4" borderId="3" xfId="0" applyNumberFormat="1" applyFill="1" applyBorder="1" applyProtection="1">
      <protection hidden="1"/>
    </xf>
    <xf numFmtId="2" fontId="0" fillId="4" borderId="8" xfId="0" applyNumberFormat="1" applyFill="1" applyBorder="1" applyProtection="1">
      <protection hidden="1"/>
    </xf>
    <xf numFmtId="1" fontId="5" fillId="3" borderId="8" xfId="0" applyNumberFormat="1" applyFont="1" applyFill="1" applyBorder="1"/>
    <xf numFmtId="3" fontId="0" fillId="0" borderId="8" xfId="0" applyNumberFormat="1" applyFont="1" applyFill="1" applyBorder="1" applyProtection="1">
      <protection locked="0"/>
    </xf>
    <xf numFmtId="3" fontId="0" fillId="0" borderId="14" xfId="0" applyNumberFormat="1" applyFont="1" applyFill="1" applyBorder="1" applyProtection="1">
      <protection locked="0"/>
    </xf>
    <xf numFmtId="168" fontId="0" fillId="3" borderId="8" xfId="0" applyNumberFormat="1" applyFill="1" applyBorder="1" applyAlignment="1">
      <alignment horizontal="right"/>
    </xf>
    <xf numFmtId="2" fontId="0" fillId="3" borderId="0" xfId="0" applyNumberFormat="1" applyFill="1" applyBorder="1"/>
    <xf numFmtId="2" fontId="0" fillId="3" borderId="8" xfId="0" applyNumberFormat="1" applyFill="1" applyBorder="1"/>
    <xf numFmtId="0" fontId="5" fillId="3" borderId="0" xfId="0" applyFont="1" applyFill="1" applyBorder="1"/>
    <xf numFmtId="0" fontId="5" fillId="3" borderId="0" xfId="0" applyFont="1" applyFill="1" applyAlignment="1">
      <alignment horizontal="left"/>
    </xf>
    <xf numFmtId="3" fontId="0" fillId="3" borderId="8" xfId="0" applyNumberFormat="1" applyFont="1" applyFill="1" applyBorder="1" applyAlignment="1">
      <alignment horizontal="right" vertical="center"/>
    </xf>
    <xf numFmtId="3" fontId="5" fillId="3" borderId="0" xfId="0" applyNumberFormat="1" applyFont="1" applyFill="1" applyProtection="1"/>
  </cellXfs>
  <cellStyles count="4">
    <cellStyle name="Header" xfId="1"/>
    <cellStyle name="Komma" xfId="3" builtinId="3"/>
    <cellStyle name="Standaard" xfId="0" builtinId="0"/>
    <cellStyle name="Standaard 2" xfId="2"/>
  </cellStyles>
  <dxfs count="639">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color rgb="FF9C0006"/>
      </font>
    </dxf>
    <dxf>
      <font>
        <color rgb="FF9C0006"/>
      </font>
    </dxf>
    <dxf>
      <font>
        <color rgb="FF9C0006"/>
      </font>
    </dxf>
    <dxf>
      <font>
        <color rgb="FF9C0006"/>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strike/>
        <color theme="7" tint="-0.24994659260841701"/>
      </font>
    </dxf>
    <dxf>
      <font>
        <strike/>
      </font>
    </dxf>
    <dxf>
      <font>
        <strike/>
      </font>
    </dxf>
    <dxf>
      <font>
        <strike/>
        <color theme="7" tint="-0.24994659260841701"/>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strike/>
        <color theme="7" tint="-0.24994659260841701"/>
      </font>
    </dxf>
    <dxf>
      <font>
        <condense val="0"/>
        <extend val="0"/>
        <color rgb="FF9C0006"/>
      </font>
      <fill>
        <patternFill>
          <bgColor rgb="FFFFC7CE"/>
        </patternFill>
      </fill>
    </dxf>
    <dxf>
      <font>
        <strike/>
        <color theme="7" tint="-0.24994659260841701"/>
      </font>
    </dxf>
    <dxf>
      <font>
        <condense val="0"/>
        <extend val="0"/>
        <color rgb="FF9C0006"/>
      </font>
      <fill>
        <patternFill>
          <bgColor rgb="FFFFC7CE"/>
        </patternFill>
      </fill>
    </dxf>
    <dxf>
      <font>
        <strike/>
        <color theme="7" tint="-0.24994659260841701"/>
      </font>
    </dxf>
    <dxf>
      <font>
        <strike/>
        <color theme="7" tint="-0.24994659260841701"/>
      </font>
    </dxf>
    <dxf>
      <font>
        <strike/>
        <color theme="7" tint="-0.24994659260841701"/>
      </font>
    </dxf>
    <dxf>
      <font>
        <color theme="7" tint="-0.24994659260841701"/>
      </font>
    </dxf>
    <dxf>
      <font>
        <strike/>
        <color theme="7" tint="-0.24994659260841701"/>
      </font>
    </dxf>
    <dxf>
      <font>
        <strike/>
        <color theme="7" tint="-0.24994659260841701"/>
      </font>
    </dxf>
    <dxf>
      <font>
        <strike/>
        <color theme="7" tint="-0.24994659260841701"/>
      </font>
    </dxf>
    <dxf>
      <font>
        <strike/>
      </font>
    </dxf>
    <dxf>
      <font>
        <strike/>
        <color theme="7" tint="-0.24994659260841701"/>
      </font>
    </dxf>
    <dxf>
      <font>
        <strike/>
      </font>
    </dxf>
    <dxf>
      <font>
        <strike/>
      </font>
    </dxf>
    <dxf>
      <font>
        <strike/>
        <color theme="7" tint="-0.24994659260841701"/>
      </font>
    </dxf>
    <dxf>
      <font>
        <strike/>
      </font>
    </dxf>
    <dxf>
      <font>
        <strike/>
      </font>
    </dxf>
    <dxf>
      <font>
        <strike/>
        <color theme="9" tint="-0.24994659260841701"/>
      </font>
    </dxf>
    <dxf>
      <font>
        <strike/>
        <color rgb="FFFFFF00"/>
      </font>
    </dxf>
    <dxf>
      <font>
        <strike/>
        <color theme="7" tint="-0.24994659260841701"/>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Macrogegevens!$C$2</c:f>
          <c:strCache>
            <c:ptCount val="1"/>
            <c:pt idx="0">
              <c:v>Aa en Hunze</c:v>
            </c:pt>
          </c:strCache>
        </c:strRef>
      </c:tx>
      <c:layout>
        <c:manualLayout>
          <c:xMode val="edge"/>
          <c:yMode val="edge"/>
          <c:x val="5.6577088110519307E-2"/>
          <c:y val="3.7037234752435616E-2"/>
        </c:manualLayout>
      </c:layout>
      <c:overlay val="0"/>
      <c:txPr>
        <a:bodyPr/>
        <a:lstStyle/>
        <a:p>
          <a:pPr>
            <a:defRPr sz="1200" b="1" i="0" u="none" strike="noStrike" baseline="0">
              <a:solidFill>
                <a:srgbClr val="000000"/>
              </a:solidFill>
              <a:latin typeface="Calibri"/>
              <a:ea typeface="Calibri"/>
              <a:cs typeface="Calibri"/>
            </a:defRPr>
          </a:pPr>
          <a:endParaRPr lang="nl-NL"/>
        </a:p>
      </c:txPr>
    </c:title>
    <c:autoTitleDeleted val="0"/>
    <c:plotArea>
      <c:layout>
        <c:manualLayout>
          <c:layoutTarget val="inner"/>
          <c:xMode val="edge"/>
          <c:yMode val="edge"/>
          <c:x val="0.15252223680373544"/>
          <c:y val="0.16759262235077757"/>
          <c:w val="0.56221102362204722"/>
          <c:h val="0.63937736949547974"/>
        </c:manualLayout>
      </c:layout>
      <c:lineChart>
        <c:grouping val="standard"/>
        <c:varyColors val="0"/>
        <c:ser>
          <c:idx val="1"/>
          <c:order val="0"/>
          <c:tx>
            <c:strRef>
              <c:f>Macrogegevens!$K$3</c:f>
              <c:strCache>
                <c:ptCount val="1"/>
                <c:pt idx="0">
                  <c:v>Netto schuldquote</c:v>
                </c:pt>
              </c:strCache>
            </c:strRef>
          </c:tx>
          <c:spPr>
            <a:ln w="38100">
              <a:solidFill>
                <a:srgbClr val="FF0000"/>
              </a:solidFill>
            </a:ln>
          </c:spPr>
          <c:marker>
            <c:symbol val="none"/>
          </c:marker>
          <c:cat>
            <c:numRef>
              <c:f>Macrogegevens!$J$4:$J$14</c:f>
              <c:numCache>
                <c:formatCode>General</c:formatCode>
                <c:ptCount val="11"/>
                <c:pt idx="0" formatCode="0">
                  <c:v>2016</c:v>
                </c:pt>
                <c:pt idx="1">
                  <c:v>2017</c:v>
                </c:pt>
                <c:pt idx="2">
                  <c:v>2018</c:v>
                </c:pt>
                <c:pt idx="3">
                  <c:v>2019</c:v>
                </c:pt>
                <c:pt idx="4">
                  <c:v>2020</c:v>
                </c:pt>
                <c:pt idx="5">
                  <c:v>2021</c:v>
                </c:pt>
                <c:pt idx="6">
                  <c:v>2022</c:v>
                </c:pt>
                <c:pt idx="7">
                  <c:v>2023</c:v>
                </c:pt>
                <c:pt idx="8">
                  <c:v>2024</c:v>
                </c:pt>
                <c:pt idx="9">
                  <c:v>2025</c:v>
                </c:pt>
                <c:pt idx="10">
                  <c:v>2026</c:v>
                </c:pt>
              </c:numCache>
            </c:numRef>
          </c:cat>
          <c:val>
            <c:numRef>
              <c:f>Macrogegevens!$K$4:$K$14</c:f>
              <c:numCache>
                <c:formatCode>0%</c:formatCode>
                <c:ptCount val="11"/>
                <c:pt idx="0">
                  <c:v>0.57833413749352203</c:v>
                </c:pt>
                <c:pt idx="1">
                  <c:v>0.61502212024740799</c:v>
                </c:pt>
                <c:pt idx="2">
                  <c:v>0.7225621704512456</c:v>
                </c:pt>
                <c:pt idx="3">
                  <c:v>0.78376925294864808</c:v>
                </c:pt>
                <c:pt idx="4">
                  <c:v>0.82234966230443196</c:v>
                </c:pt>
                <c:pt idx="5">
                  <c:v>0.84291896405228617</c:v>
                </c:pt>
                <c:pt idx="6">
                  <c:v>0.84652068887263432</c:v>
                </c:pt>
                <c:pt idx="7">
                  <c:v>0.84750421287833777</c:v>
                </c:pt>
                <c:pt idx="8">
                  <c:v>0.83622310857056026</c:v>
                </c:pt>
                <c:pt idx="9">
                  <c:v>0.8141095365895773</c:v>
                </c:pt>
                <c:pt idx="10">
                  <c:v>0.78128082479104133</c:v>
                </c:pt>
              </c:numCache>
            </c:numRef>
          </c:val>
          <c:smooth val="0"/>
          <c:extLst xmlns:c16r2="http://schemas.microsoft.com/office/drawing/2015/06/chart">
            <c:ext xmlns:c16="http://schemas.microsoft.com/office/drawing/2014/chart" uri="{C3380CC4-5D6E-409C-BE32-E72D297353CC}">
              <c16:uniqueId val="{00000000-FDC6-4504-999C-457E6CC8F028}"/>
            </c:ext>
          </c:extLst>
        </c:ser>
        <c:dLbls>
          <c:showLegendKey val="0"/>
          <c:showVal val="0"/>
          <c:showCatName val="0"/>
          <c:showSerName val="0"/>
          <c:showPercent val="0"/>
          <c:showBubbleSize val="0"/>
        </c:dLbls>
        <c:marker val="1"/>
        <c:smooth val="0"/>
        <c:axId val="158579712"/>
        <c:axId val="158593792"/>
      </c:lineChart>
      <c:catAx>
        <c:axId val="158579712"/>
        <c:scaling>
          <c:orientation val="minMax"/>
        </c:scaling>
        <c:delete val="0"/>
        <c:axPos val="b"/>
        <c:numFmt formatCode="0" sourceLinked="1"/>
        <c:majorTickMark val="out"/>
        <c:minorTickMark val="none"/>
        <c:tickLblPos val="nextTo"/>
        <c:txPr>
          <a:bodyPr rot="-2700000" vert="horz"/>
          <a:lstStyle/>
          <a:p>
            <a:pPr>
              <a:defRPr sz="1000" b="1" i="0" u="none" strike="noStrike" baseline="0">
                <a:solidFill>
                  <a:srgbClr val="000000"/>
                </a:solidFill>
                <a:latin typeface="Calibri"/>
                <a:ea typeface="Calibri"/>
                <a:cs typeface="Calibri"/>
              </a:defRPr>
            </a:pPr>
            <a:endParaRPr lang="nl-NL"/>
          </a:p>
        </c:txPr>
        <c:crossAx val="158593792"/>
        <c:crossesAt val="0"/>
        <c:auto val="1"/>
        <c:lblAlgn val="ctr"/>
        <c:lblOffset val="100"/>
        <c:tickLblSkip val="1"/>
        <c:noMultiLvlLbl val="0"/>
      </c:catAx>
      <c:valAx>
        <c:axId val="158593792"/>
        <c:scaling>
          <c:orientation val="minMax"/>
        </c:scaling>
        <c:delete val="0"/>
        <c:axPos val="l"/>
        <c:majorGridlines/>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nl-NL"/>
          </a:p>
        </c:txPr>
        <c:crossAx val="158579712"/>
        <c:crosses val="autoZero"/>
        <c:crossBetween val="midCat"/>
      </c:valAx>
    </c:plotArea>
    <c:legend>
      <c:legendPos val="r"/>
      <c:layout/>
      <c:overlay val="0"/>
      <c:txPr>
        <a:bodyPr/>
        <a:lstStyle/>
        <a:p>
          <a:pPr>
            <a:defRPr sz="845" b="1" i="0" u="none" strike="noStrike" baseline="0">
              <a:solidFill>
                <a:srgbClr val="000000"/>
              </a:solidFill>
              <a:latin typeface="Calibri"/>
              <a:ea typeface="Calibri"/>
              <a:cs typeface="Calibri"/>
            </a:defRPr>
          </a:pPr>
          <a:endParaRPr lang="nl-NL"/>
        </a:p>
      </c:txPr>
    </c:legend>
    <c:plotVisOnly val="0"/>
    <c:dispBlanksAs val="gap"/>
    <c:showDLblsOverMax val="0"/>
  </c:chart>
  <c:spPr>
    <a:ln>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3285214348212"/>
          <c:y val="0.20544968040691092"/>
          <c:w val="0.55305062406767502"/>
          <c:h val="0.63349262060785183"/>
        </c:manualLayout>
      </c:layout>
      <c:barChart>
        <c:barDir val="col"/>
        <c:grouping val="clustered"/>
        <c:varyColors val="0"/>
        <c:ser>
          <c:idx val="3"/>
          <c:order val="0"/>
          <c:tx>
            <c:strRef>
              <c:f>Macrogegevens!$M$27</c:f>
              <c:strCache>
                <c:ptCount val="1"/>
                <c:pt idx="0">
                  <c:v>Solvabiliteitsratio (excl. voorzieningen)</c:v>
                </c:pt>
              </c:strCache>
            </c:strRef>
          </c:tx>
          <c:spPr>
            <a:solidFill>
              <a:schemeClr val="accent3">
                <a:lumMod val="50000"/>
              </a:schemeClr>
            </a:solidFill>
          </c:spPr>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nl-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Macrogegevens!$T$27:$X$27</c:f>
              <c:numCache>
                <c:formatCode>0.0%</c:formatCode>
                <c:ptCount val="2"/>
                <c:pt idx="0">
                  <c:v>0.33705011389521639</c:v>
                </c:pt>
                <c:pt idx="1">
                  <c:v>0.31565881651986943</c:v>
                </c:pt>
              </c:numCache>
            </c:numRef>
          </c:val>
          <c:extLst xmlns:c16r2="http://schemas.microsoft.com/office/drawing/2015/06/chart">
            <c:ext xmlns:c16="http://schemas.microsoft.com/office/drawing/2014/chart" uri="{C3380CC4-5D6E-409C-BE32-E72D297353CC}">
              <c16:uniqueId val="{00000001-F204-4F02-BC88-1D18A27E97E3}"/>
            </c:ext>
          </c:extLst>
        </c:ser>
        <c:ser>
          <c:idx val="6"/>
          <c:order val="1"/>
          <c:tx>
            <c:strRef>
              <c:f>Macrogegevens!$M$28</c:f>
              <c:strCache>
                <c:ptCount val="1"/>
                <c:pt idx="0">
                  <c:v>Netto schuldquote incl. uitgeleend</c:v>
                </c:pt>
              </c:strCache>
            </c:strRef>
          </c:tx>
          <c:spPr>
            <a:solidFill>
              <a:srgbClr val="FF0000"/>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Macrogegevens!$T$28:$X$28</c:f>
              <c:numCache>
                <c:formatCode>0.0%</c:formatCode>
                <c:ptCount val="2"/>
                <c:pt idx="0">
                  <c:v>0.57833413749352203</c:v>
                </c:pt>
                <c:pt idx="1">
                  <c:v>0.61502212024740799</c:v>
                </c:pt>
              </c:numCache>
            </c:numRef>
          </c:val>
          <c:extLst xmlns:c16r2="http://schemas.microsoft.com/office/drawing/2015/06/chart">
            <c:ext xmlns:c16="http://schemas.microsoft.com/office/drawing/2014/chart" uri="{C3380CC4-5D6E-409C-BE32-E72D297353CC}">
              <c16:uniqueId val="{00000003-F204-4F02-BC88-1D18A27E97E3}"/>
            </c:ext>
          </c:extLst>
        </c:ser>
        <c:ser>
          <c:idx val="8"/>
          <c:order val="2"/>
          <c:tx>
            <c:strRef>
              <c:f>Macrogegevens!$M$30</c:f>
              <c:strCache>
                <c:ptCount val="1"/>
                <c:pt idx="0">
                  <c:v>Voorraadquote (grondexploitatie)</c:v>
                </c:pt>
              </c:strCache>
            </c:strRef>
          </c:tx>
          <c:spPr>
            <a:solidFill>
              <a:schemeClr val="tx2"/>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Macrogegevens!$T$30:$X$30</c:f>
              <c:numCache>
                <c:formatCode>0.0%</c:formatCode>
                <c:ptCount val="2"/>
                <c:pt idx="0">
                  <c:v>0.17687950106327846</c:v>
                </c:pt>
                <c:pt idx="1">
                  <c:v>0.17866652370485533</c:v>
                </c:pt>
              </c:numCache>
            </c:numRef>
          </c:val>
          <c:extLst xmlns:c16r2="http://schemas.microsoft.com/office/drawing/2015/06/chart">
            <c:ext xmlns:c16="http://schemas.microsoft.com/office/drawing/2014/chart" uri="{C3380CC4-5D6E-409C-BE32-E72D297353CC}">
              <c16:uniqueId val="{00000004-F204-4F02-BC88-1D18A27E97E3}"/>
            </c:ext>
          </c:extLst>
        </c:ser>
        <c:ser>
          <c:idx val="9"/>
          <c:order val="3"/>
          <c:tx>
            <c:strRef>
              <c:f>Macrogegevens!$M$33</c:f>
              <c:strCache>
                <c:ptCount val="1"/>
                <c:pt idx="0">
                  <c:v>Resultaat v. mutatie reserves in % van inkomsten</c:v>
                </c:pt>
              </c:strCache>
            </c:strRef>
          </c:tx>
          <c:spPr>
            <a:solidFill>
              <a:schemeClr val="tx1"/>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Macrogegevens!$T$33:$X$33</c:f>
              <c:numCache>
                <c:formatCode>0.0%</c:formatCode>
                <c:ptCount val="2"/>
                <c:pt idx="0">
                  <c:v>-3.4007040869207812E-2</c:v>
                </c:pt>
                <c:pt idx="1">
                  <c:v>-3.4007040869207812E-2</c:v>
                </c:pt>
              </c:numCache>
            </c:numRef>
          </c:val>
          <c:extLst xmlns:c16r2="http://schemas.microsoft.com/office/drawing/2015/06/chart">
            <c:ext xmlns:c16="http://schemas.microsoft.com/office/drawing/2014/chart" uri="{C3380CC4-5D6E-409C-BE32-E72D297353CC}">
              <c16:uniqueId val="{00000005-F204-4F02-BC88-1D18A27E97E3}"/>
            </c:ext>
          </c:extLst>
        </c:ser>
        <c:ser>
          <c:idx val="10"/>
          <c:order val="4"/>
          <c:tx>
            <c:strRef>
              <c:f>Macrogegevens!$M$34</c:f>
              <c:strCache>
                <c:ptCount val="1"/>
                <c:pt idx="0">
                  <c:v>Afhankelijkheidsratio</c:v>
                </c:pt>
              </c:strCache>
            </c:strRef>
          </c:tx>
          <c:spPr>
            <a:solidFill>
              <a:schemeClr val="accent6">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Macrogegevens!$T$34:$X$34</c:f>
              <c:numCache>
                <c:formatCode>0.0%</c:formatCode>
                <c:ptCount val="2"/>
                <c:pt idx="1">
                  <c:v>0.69142107316824353</c:v>
                </c:pt>
              </c:numCache>
            </c:numRef>
          </c:val>
          <c:extLst xmlns:c16r2="http://schemas.microsoft.com/office/drawing/2015/06/chart">
            <c:ext xmlns:c16="http://schemas.microsoft.com/office/drawing/2014/chart" uri="{C3380CC4-5D6E-409C-BE32-E72D297353CC}">
              <c16:uniqueId val="{00000006-F204-4F02-BC88-1D18A27E97E3}"/>
            </c:ext>
          </c:extLst>
        </c:ser>
        <c:ser>
          <c:idx val="11"/>
          <c:order val="5"/>
          <c:tx>
            <c:strRef>
              <c:f>Macrogegevens!$M$35</c:f>
              <c:strCache>
                <c:ptCount val="1"/>
                <c:pt idx="0">
                  <c:v>Ombuigingsquote</c:v>
                </c:pt>
              </c:strCache>
            </c:strRef>
          </c:tx>
          <c:spPr>
            <a:solidFill>
              <a:schemeClr val="accent5">
                <a:lumMod val="5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Macrogegevens!$T$20:$X$20</c:f>
              <c:numCache>
                <c:formatCode>General</c:formatCode>
                <c:ptCount val="2"/>
              </c:numCache>
            </c:numRef>
          </c:cat>
          <c:val>
            <c:numRef>
              <c:f>Macrogegevens!$T$35:$X$35</c:f>
              <c:numCache>
                <c:formatCode>0.0%</c:formatCode>
                <c:ptCount val="2"/>
                <c:pt idx="1">
                  <c:v>0.75271001956231653</c:v>
                </c:pt>
              </c:numCache>
            </c:numRef>
          </c:val>
          <c:extLst xmlns:c16r2="http://schemas.microsoft.com/office/drawing/2015/06/chart">
            <c:ext xmlns:c16="http://schemas.microsoft.com/office/drawing/2014/chart" uri="{C3380CC4-5D6E-409C-BE32-E72D297353CC}">
              <c16:uniqueId val="{00000007-F204-4F02-BC88-1D18A27E97E3}"/>
            </c:ext>
          </c:extLst>
        </c:ser>
        <c:ser>
          <c:idx val="0"/>
          <c:order val="6"/>
          <c:tx>
            <c:strRef>
              <c:f>Macrogegevens!$M$44</c:f>
              <c:strCache>
                <c:ptCount val="1"/>
                <c:pt idx="0">
                  <c:v>Houdbaarheidstekort in % ombuigingsrelevant deel exploitatie</c:v>
                </c:pt>
              </c:strCache>
            </c:strRef>
          </c:tx>
          <c:spPr>
            <a:solidFill>
              <a:srgbClr val="FFFF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Macrogegevens!$T$44:$X$44</c:f>
              <c:numCache>
                <c:formatCode>0.0%</c:formatCode>
                <c:ptCount val="2"/>
                <c:pt idx="1">
                  <c:v>5.5E-2</c:v>
                </c:pt>
              </c:numCache>
            </c:numRef>
          </c:val>
          <c:extLst xmlns:c16r2="http://schemas.microsoft.com/office/drawing/2015/06/chart">
            <c:ext xmlns:c16="http://schemas.microsoft.com/office/drawing/2014/chart" uri="{C3380CC4-5D6E-409C-BE32-E72D297353CC}">
              <c16:uniqueId val="{00000000-CF6D-47C2-8E08-E601C43EEFAE}"/>
            </c:ext>
          </c:extLst>
        </c:ser>
        <c:dLbls>
          <c:showLegendKey val="0"/>
          <c:showVal val="0"/>
          <c:showCatName val="0"/>
          <c:showSerName val="0"/>
          <c:showPercent val="0"/>
          <c:showBubbleSize val="0"/>
        </c:dLbls>
        <c:gapWidth val="150"/>
        <c:axId val="153387008"/>
        <c:axId val="153388544"/>
      </c:barChart>
      <c:catAx>
        <c:axId val="153387008"/>
        <c:scaling>
          <c:orientation val="minMax"/>
        </c:scaling>
        <c:delete val="0"/>
        <c:axPos val="b"/>
        <c:numFmt formatCode="General" sourceLinked="0"/>
        <c:majorTickMark val="out"/>
        <c:minorTickMark val="none"/>
        <c:tickLblPos val="nextTo"/>
        <c:txPr>
          <a:bodyPr rot="5400000" vert="horz" anchor="t" anchorCtr="0"/>
          <a:lstStyle/>
          <a:p>
            <a:pPr>
              <a:defRPr sz="1000" b="1" i="0" u="none" strike="noStrike" baseline="0">
                <a:solidFill>
                  <a:srgbClr val="000000"/>
                </a:solidFill>
                <a:latin typeface="Calibri"/>
                <a:ea typeface="Calibri"/>
                <a:cs typeface="Calibri"/>
              </a:defRPr>
            </a:pPr>
            <a:endParaRPr lang="nl-NL"/>
          </a:p>
        </c:txPr>
        <c:crossAx val="153388544"/>
        <c:crosses val="autoZero"/>
        <c:auto val="1"/>
        <c:lblAlgn val="ctr"/>
        <c:lblOffset val="100"/>
        <c:noMultiLvlLbl val="0"/>
      </c:catAx>
      <c:valAx>
        <c:axId val="153388544"/>
        <c:scaling>
          <c:orientation val="minMax"/>
        </c:scaling>
        <c:delete val="0"/>
        <c:axPos val="l"/>
        <c:majorGridlines/>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nl-NL"/>
          </a:p>
        </c:txPr>
        <c:crossAx val="153387008"/>
        <c:crosses val="autoZero"/>
        <c:crossBetween val="between"/>
      </c:valAx>
    </c:plotArea>
    <c:legend>
      <c:legendPos val="r"/>
      <c:layout>
        <c:manualLayout>
          <c:xMode val="edge"/>
          <c:yMode val="edge"/>
          <c:x val="0.70368171604448726"/>
          <c:y val="0.31827502574836369"/>
          <c:w val="0.29631828395551274"/>
          <c:h val="0.62435562643277187"/>
        </c:manualLayout>
      </c:layout>
      <c:overlay val="0"/>
      <c:txPr>
        <a:bodyPr/>
        <a:lstStyle/>
        <a:p>
          <a:pPr>
            <a:defRPr sz="845" b="1" i="0" u="none" strike="noStrike" baseline="0">
              <a:solidFill>
                <a:srgbClr val="000000"/>
              </a:solidFill>
              <a:latin typeface="Calibri"/>
              <a:ea typeface="Calibri"/>
              <a:cs typeface="Calibri"/>
            </a:defRPr>
          </a:pPr>
          <a:endParaRPr lang="nl-NL"/>
        </a:p>
      </c:txPr>
    </c:legend>
    <c:plotVisOnly val="1"/>
    <c:dispBlanksAs val="gap"/>
    <c:showDLblsOverMax val="0"/>
  </c:chart>
  <c:spPr>
    <a:solidFill>
      <a:schemeClr val="bg1">
        <a:lumMod val="65000"/>
      </a:schemeClr>
    </a:solidFill>
    <a:ln w="12700">
      <a:solidFill>
        <a:schemeClr val="tx1"/>
      </a:solidFill>
    </a:ln>
  </c:spPr>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nl-NL" b="0">
                <a:solidFill>
                  <a:sysClr val="windowText" lastClr="000000"/>
                </a:solidFill>
              </a:rPr>
              <a:t>Inkomensmix 2017</a:t>
            </a:r>
          </a:p>
        </c:rich>
      </c:tx>
      <c:overlay val="0"/>
      <c:spPr>
        <a:noFill/>
        <a:ln>
          <a:noFill/>
        </a:ln>
        <a:effectLst/>
      </c:spPr>
    </c:title>
    <c:autoTitleDeleted val="0"/>
    <c:plotArea>
      <c:layout>
        <c:manualLayout>
          <c:layoutTarget val="inner"/>
          <c:xMode val="edge"/>
          <c:yMode val="edge"/>
          <c:x val="9.2678137455040346E-2"/>
          <c:y val="0.17365841450155478"/>
          <c:w val="0.81464372508991933"/>
          <c:h val="0.56165501780402927"/>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BCB2-48E3-AEE4-4EF52CEC8FC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6F05-4330-9F56-ACD9A04FA415}"/>
              </c:ext>
            </c:extLst>
          </c:dPt>
          <c:dPt>
            <c:idx val="2"/>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BCB2-48E3-AEE4-4EF52CEC8FCC}"/>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6F05-4330-9F56-ACD9A04FA415}"/>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6F05-4330-9F56-ACD9A04FA415}"/>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6F05-4330-9F56-ACD9A04FA415}"/>
              </c:ext>
            </c:extLst>
          </c:dPt>
          <c:dPt>
            <c:idx val="6"/>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8-BCB2-48E3-AEE4-4EF52CEC8FCC}"/>
              </c:ext>
            </c:extLst>
          </c:dPt>
          <c:dPt>
            <c:idx val="7"/>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5-BCB2-48E3-AEE4-4EF52CEC8FCC}"/>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6F05-4330-9F56-ACD9A04FA415}"/>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ED82-4DD6-909B-9DA11E96B1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'Inkomsten &amp; uitgaven'!$P$2:$P$10</c:f>
              <c:strCache>
                <c:ptCount val="9"/>
                <c:pt idx="0">
                  <c:v>Rijksoverdrachten</c:v>
                </c:pt>
                <c:pt idx="1">
                  <c:v>OZB</c:v>
                </c:pt>
                <c:pt idx="2">
                  <c:v>Riool rechten</c:v>
                </c:pt>
                <c:pt idx="3">
                  <c:v>Afvalstoffenheffing</c:v>
                </c:pt>
                <c:pt idx="4">
                  <c:v>Bouwgrond </c:v>
                </c:pt>
                <c:pt idx="5">
                  <c:v>Overige belastingen</c:v>
                </c:pt>
                <c:pt idx="6">
                  <c:v>Overige rechten &amp; leges</c:v>
                </c:pt>
                <c:pt idx="7">
                  <c:v>Rente en dividend</c:v>
                </c:pt>
                <c:pt idx="8">
                  <c:v>Overige eigen inkomsten</c:v>
                </c:pt>
              </c:strCache>
            </c:strRef>
          </c:cat>
          <c:val>
            <c:numRef>
              <c:f>'Inkomsten &amp; uitgaven'!$Q$2:$Q$10</c:f>
              <c:numCache>
                <c:formatCode>0.0%</c:formatCode>
                <c:ptCount val="9"/>
                <c:pt idx="0">
                  <c:v>0.69142107316824353</c:v>
                </c:pt>
                <c:pt idx="1">
                  <c:v>7.4122837313117196E-2</c:v>
                </c:pt>
                <c:pt idx="2">
                  <c:v>4.1673368001572578E-2</c:v>
                </c:pt>
                <c:pt idx="3">
                  <c:v>3.7884880001429616E-2</c:v>
                </c:pt>
                <c:pt idx="4">
                  <c:v>4.4675566039421723E-2</c:v>
                </c:pt>
                <c:pt idx="5">
                  <c:v>2.3249164566915063E-2</c:v>
                </c:pt>
                <c:pt idx="6">
                  <c:v>1.8745867510141352E-2</c:v>
                </c:pt>
                <c:pt idx="7">
                  <c:v>6.0001965724905742E-3</c:v>
                </c:pt>
                <c:pt idx="8">
                  <c:v>6.2227046826668402E-2</c:v>
                </c:pt>
              </c:numCache>
            </c:numRef>
          </c:val>
          <c:extLst xmlns:c16r2="http://schemas.microsoft.com/office/drawing/2015/06/chart">
            <c:ext xmlns:c16="http://schemas.microsoft.com/office/drawing/2014/chart" uri="{C3380CC4-5D6E-409C-BE32-E72D297353CC}">
              <c16:uniqueId val="{0000001D-B425-4D53-AC61-E66DA3AB83BF}"/>
            </c:ext>
          </c:extLst>
        </c:ser>
        <c:dLbls>
          <c:showLegendKey val="0"/>
          <c:showVal val="0"/>
          <c:showCatName val="0"/>
          <c:showSerName val="0"/>
          <c:showPercent val="0"/>
          <c:showBubbleSize val="0"/>
          <c:showLeaderLines val="1"/>
        </c:dLbls>
        <c:gapWidth val="150"/>
        <c:splitType val="pos"/>
        <c:splitPos val="3"/>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nl-NL"/>
              <a:t>Ontwikkeling schuldfinanciering bezit eind 2016 - 2017</a:t>
            </a:r>
          </a:p>
        </c:rich>
      </c:tx>
      <c:layout>
        <c:manualLayout>
          <c:xMode val="edge"/>
          <c:yMode val="edge"/>
          <c:x val="0.38015802712161922"/>
          <c:y val="3.2407407407408786E-2"/>
        </c:manualLayout>
      </c:layout>
      <c:overlay val="0"/>
    </c:title>
    <c:autoTitleDeleted val="0"/>
    <c:plotArea>
      <c:layout>
        <c:manualLayout>
          <c:layoutTarget val="inner"/>
          <c:xMode val="edge"/>
          <c:yMode val="edge"/>
          <c:x val="0.13043318828092118"/>
          <c:y val="0.1463079615048119"/>
          <c:w val="0.48012167783913451"/>
          <c:h val="0.73771216097987768"/>
        </c:manualLayout>
      </c:layout>
      <c:barChart>
        <c:barDir val="col"/>
        <c:grouping val="clustered"/>
        <c:varyColors val="0"/>
        <c:ser>
          <c:idx val="0"/>
          <c:order val="0"/>
          <c:tx>
            <c:strRef>
              <c:f>Balansprognose!$E$39</c:f>
              <c:strCache>
                <c:ptCount val="1"/>
                <c:pt idx="0">
                  <c:v>Schuldratio</c:v>
                </c:pt>
              </c:strCache>
            </c:strRef>
          </c:tx>
          <c:spPr>
            <a:solidFill>
              <a:srgbClr val="C00000"/>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nl-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Balansprognose!$F$4:$G$4</c:f>
              <c:numCache>
                <c:formatCode>0</c:formatCode>
                <c:ptCount val="2"/>
                <c:pt idx="0">
                  <c:v>2016</c:v>
                </c:pt>
                <c:pt idx="1">
                  <c:v>2017</c:v>
                </c:pt>
              </c:numCache>
            </c:numRef>
          </c:cat>
          <c:val>
            <c:numRef>
              <c:f>Balansprognose!$F$39:$G$39</c:f>
              <c:numCache>
                <c:formatCode>0.0%</c:formatCode>
                <c:ptCount val="2"/>
                <c:pt idx="0">
                  <c:v>0.58594533029612761</c:v>
                </c:pt>
                <c:pt idx="1">
                  <c:v>0.60746798016101378</c:v>
                </c:pt>
              </c:numCache>
            </c:numRef>
          </c:val>
          <c:extLst xmlns:c16r2="http://schemas.microsoft.com/office/drawing/2015/06/chart">
            <c:ext xmlns:c16="http://schemas.microsoft.com/office/drawing/2014/chart" uri="{C3380CC4-5D6E-409C-BE32-E72D297353CC}">
              <c16:uniqueId val="{00000000-752A-47B0-A5EB-20A0966B6D4C}"/>
            </c:ext>
          </c:extLst>
        </c:ser>
        <c:ser>
          <c:idx val="1"/>
          <c:order val="1"/>
          <c:tx>
            <c:strRef>
              <c:f>Balansprognose!$E$38</c:f>
              <c:strCache>
                <c:ptCount val="1"/>
                <c:pt idx="0">
                  <c:v>Solvabiliteitsratio</c:v>
                </c:pt>
              </c:strCache>
            </c:strRef>
          </c:tx>
          <c:spPr>
            <a:solidFill>
              <a:schemeClr val="accent3">
                <a:lumMod val="75000"/>
              </a:schemeClr>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nl-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Balansprognose!$F$4:$G$4</c:f>
              <c:numCache>
                <c:formatCode>0</c:formatCode>
                <c:ptCount val="2"/>
                <c:pt idx="0">
                  <c:v>2016</c:v>
                </c:pt>
                <c:pt idx="1">
                  <c:v>2017</c:v>
                </c:pt>
              </c:numCache>
            </c:numRef>
          </c:cat>
          <c:val>
            <c:numRef>
              <c:f>Balansprognose!$F$38:$G$38</c:f>
              <c:numCache>
                <c:formatCode>0.0%</c:formatCode>
                <c:ptCount val="2"/>
                <c:pt idx="0">
                  <c:v>0.33705011389521639</c:v>
                </c:pt>
                <c:pt idx="1">
                  <c:v>0.31565881651986943</c:v>
                </c:pt>
              </c:numCache>
            </c:numRef>
          </c:val>
          <c:extLst xmlns:c16r2="http://schemas.microsoft.com/office/drawing/2015/06/chart">
            <c:ext xmlns:c16="http://schemas.microsoft.com/office/drawing/2014/chart" uri="{C3380CC4-5D6E-409C-BE32-E72D297353CC}">
              <c16:uniqueId val="{00000001-752A-47B0-A5EB-20A0966B6D4C}"/>
            </c:ext>
          </c:extLst>
        </c:ser>
        <c:dLbls>
          <c:showLegendKey val="0"/>
          <c:showVal val="0"/>
          <c:showCatName val="0"/>
          <c:showSerName val="0"/>
          <c:showPercent val="0"/>
          <c:showBubbleSize val="0"/>
        </c:dLbls>
        <c:gapWidth val="55"/>
        <c:axId val="160356224"/>
        <c:axId val="160357760"/>
      </c:barChart>
      <c:catAx>
        <c:axId val="160356224"/>
        <c:scaling>
          <c:orientation val="minMax"/>
        </c:scaling>
        <c:delete val="0"/>
        <c:axPos val="b"/>
        <c:numFmt formatCode="0"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nl-NL"/>
          </a:p>
        </c:txPr>
        <c:crossAx val="160357760"/>
        <c:crosses val="autoZero"/>
        <c:auto val="1"/>
        <c:lblAlgn val="ctr"/>
        <c:lblOffset val="100"/>
        <c:noMultiLvlLbl val="0"/>
      </c:catAx>
      <c:valAx>
        <c:axId val="160357760"/>
        <c:scaling>
          <c:orientation val="minMax"/>
          <c:min val="0"/>
        </c:scaling>
        <c:delete val="0"/>
        <c:axPos val="l"/>
        <c:majorGridlines/>
        <c:numFmt formatCode="0.0%"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nl-NL"/>
          </a:p>
        </c:txPr>
        <c:crossAx val="160356224"/>
        <c:crosses val="autoZero"/>
        <c:crossBetween val="between"/>
      </c:valAx>
    </c:plotArea>
    <c:legend>
      <c:legendPos val="r"/>
      <c:layout>
        <c:manualLayout>
          <c:xMode val="edge"/>
          <c:yMode val="edge"/>
          <c:x val="0.6283112787985039"/>
          <c:y val="0.33796879556724174"/>
          <c:w val="0.26052811014282573"/>
          <c:h val="0.27545129775446175"/>
        </c:manualLayout>
      </c:layout>
      <c:overlay val="0"/>
      <c:txPr>
        <a:bodyPr/>
        <a:lstStyle/>
        <a:p>
          <a:pPr>
            <a:defRPr sz="920" b="0" i="0" u="none" strike="noStrike" baseline="0">
              <a:solidFill>
                <a:srgbClr val="000000"/>
              </a:solidFill>
              <a:latin typeface="Calibri"/>
              <a:ea typeface="Calibri"/>
              <a:cs typeface="Calibri"/>
            </a:defRPr>
          </a:pPr>
          <a:endParaRPr lang="nl-N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60963010905666"/>
          <c:y val="0.19190614985281731"/>
          <c:w val="0.59591822799750505"/>
          <c:h val="0.71582256637810493"/>
        </c:manualLayout>
      </c:layout>
      <c:barChart>
        <c:barDir val="col"/>
        <c:grouping val="clustered"/>
        <c:varyColors val="0"/>
        <c:ser>
          <c:idx val="0"/>
          <c:order val="0"/>
          <c:tx>
            <c:strRef>
              <c:f>Balansprognose!$E$42</c:f>
              <c:strCache>
                <c:ptCount val="1"/>
                <c:pt idx="0">
                  <c:v>Netto schuldquote (incl. uitgeleend geld)</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Balansprognose!$F$34:$G$34</c:f>
              <c:strCache>
                <c:ptCount val="2"/>
                <c:pt idx="0">
                  <c:v>Jaarrek. 2016</c:v>
                </c:pt>
                <c:pt idx="1">
                  <c:v>Begroting 2017</c:v>
                </c:pt>
              </c:strCache>
            </c:strRef>
          </c:cat>
          <c:val>
            <c:numRef>
              <c:f>Balansprognose!$F$42:$G$42</c:f>
              <c:numCache>
                <c:formatCode>0.0%</c:formatCode>
                <c:ptCount val="2"/>
                <c:pt idx="0">
                  <c:v>0.57833413749352203</c:v>
                </c:pt>
                <c:pt idx="1">
                  <c:v>0.61373188990018945</c:v>
                </c:pt>
              </c:numCache>
            </c:numRef>
          </c:val>
          <c:extLst xmlns:c16r2="http://schemas.microsoft.com/office/drawing/2015/06/chart">
            <c:ext xmlns:c16="http://schemas.microsoft.com/office/drawing/2014/chart" uri="{C3380CC4-5D6E-409C-BE32-E72D297353CC}">
              <c16:uniqueId val="{00000000-0896-46D8-8EBA-B72659604A68}"/>
            </c:ext>
          </c:extLst>
        </c:ser>
        <c:ser>
          <c:idx val="1"/>
          <c:order val="1"/>
          <c:tx>
            <c:strRef>
              <c:f>Balansprognose!$E$43</c:f>
              <c:strCache>
                <c:ptCount val="1"/>
                <c:pt idx="0">
                  <c:v>Uitleenquote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Balansprognose!$F$34:$G$34</c:f>
              <c:strCache>
                <c:ptCount val="2"/>
                <c:pt idx="0">
                  <c:v>Jaarrek. 2016</c:v>
                </c:pt>
                <c:pt idx="1">
                  <c:v>Begroting 2017</c:v>
                </c:pt>
              </c:strCache>
            </c:strRef>
          </c:cat>
          <c:val>
            <c:numRef>
              <c:f>Balansprognose!$F$43:$G$43</c:f>
              <c:numCache>
                <c:formatCode>0.0%</c:formatCode>
                <c:ptCount val="2"/>
                <c:pt idx="0">
                  <c:v>0.14117478868457264</c:v>
                </c:pt>
                <c:pt idx="1">
                  <c:v>0.14117478868457264</c:v>
                </c:pt>
              </c:numCache>
            </c:numRef>
          </c:val>
          <c:extLst xmlns:c16r2="http://schemas.microsoft.com/office/drawing/2015/06/chart">
            <c:ext xmlns:c16="http://schemas.microsoft.com/office/drawing/2014/chart" uri="{C3380CC4-5D6E-409C-BE32-E72D297353CC}">
              <c16:uniqueId val="{00000001-0896-46D8-8EBA-B72659604A68}"/>
            </c:ext>
          </c:extLst>
        </c:ser>
        <c:ser>
          <c:idx val="2"/>
          <c:order val="2"/>
          <c:tx>
            <c:strRef>
              <c:f>Balansprognose!$E$44</c:f>
              <c:strCache>
                <c:ptCount val="1"/>
                <c:pt idx="0">
                  <c:v>Voorraadquote (grondexploitatie)</c:v>
                </c:pt>
              </c:strCache>
            </c:strRef>
          </c:tx>
          <c:spPr>
            <a:solidFill>
              <a:schemeClr val="tx2"/>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Balansprognose!$F$34:$G$34</c:f>
              <c:strCache>
                <c:ptCount val="2"/>
                <c:pt idx="0">
                  <c:v>Jaarrek. 2016</c:v>
                </c:pt>
                <c:pt idx="1">
                  <c:v>Begroting 2017</c:v>
                </c:pt>
              </c:strCache>
            </c:strRef>
          </c:cat>
          <c:val>
            <c:numRef>
              <c:f>Balansprognose!$F$44:$G$44</c:f>
              <c:numCache>
                <c:formatCode>0.0%</c:formatCode>
                <c:ptCount val="2"/>
                <c:pt idx="0">
                  <c:v>0.17687950106327846</c:v>
                </c:pt>
                <c:pt idx="1">
                  <c:v>0.17866652370485533</c:v>
                </c:pt>
              </c:numCache>
            </c:numRef>
          </c:val>
          <c:extLst xmlns:c16r2="http://schemas.microsoft.com/office/drawing/2015/06/chart">
            <c:ext xmlns:c16="http://schemas.microsoft.com/office/drawing/2014/chart" uri="{C3380CC4-5D6E-409C-BE32-E72D297353CC}">
              <c16:uniqueId val="{00000002-0896-46D8-8EBA-B72659604A68}"/>
            </c:ext>
          </c:extLst>
        </c:ser>
        <c:dLbls>
          <c:showLegendKey val="0"/>
          <c:showVal val="0"/>
          <c:showCatName val="0"/>
          <c:showSerName val="0"/>
          <c:showPercent val="0"/>
          <c:showBubbleSize val="0"/>
        </c:dLbls>
        <c:gapWidth val="150"/>
        <c:axId val="160425472"/>
        <c:axId val="160427008"/>
      </c:barChart>
      <c:catAx>
        <c:axId val="160425472"/>
        <c:scaling>
          <c:orientation val="minMax"/>
        </c:scaling>
        <c:delete val="0"/>
        <c:axPos val="b"/>
        <c:numFmt formatCode="General" sourceLinked="0"/>
        <c:majorTickMark val="out"/>
        <c:minorTickMark val="none"/>
        <c:tickLblPos val="nextTo"/>
        <c:txPr>
          <a:bodyPr/>
          <a:lstStyle/>
          <a:p>
            <a:pPr>
              <a:defRPr b="1"/>
            </a:pPr>
            <a:endParaRPr lang="nl-NL"/>
          </a:p>
        </c:txPr>
        <c:crossAx val="160427008"/>
        <c:crosses val="autoZero"/>
        <c:auto val="1"/>
        <c:lblAlgn val="ctr"/>
        <c:lblOffset val="100"/>
        <c:noMultiLvlLbl val="0"/>
      </c:catAx>
      <c:valAx>
        <c:axId val="160427008"/>
        <c:scaling>
          <c:orientation val="minMax"/>
        </c:scaling>
        <c:delete val="0"/>
        <c:axPos val="l"/>
        <c:majorGridlines/>
        <c:numFmt formatCode="0.0%" sourceLinked="1"/>
        <c:majorTickMark val="out"/>
        <c:minorTickMark val="none"/>
        <c:tickLblPos val="nextTo"/>
        <c:txPr>
          <a:bodyPr/>
          <a:lstStyle/>
          <a:p>
            <a:pPr>
              <a:defRPr b="1"/>
            </a:pPr>
            <a:endParaRPr lang="nl-NL"/>
          </a:p>
        </c:txPr>
        <c:crossAx val="160425472"/>
        <c:crosses val="autoZero"/>
        <c:crossBetween val="between"/>
      </c:valAx>
    </c:plotArea>
    <c:legend>
      <c:legendPos val="r"/>
      <c:overlay val="0"/>
    </c:legend>
    <c:plotVisOnly val="1"/>
    <c:dispBlanksAs val="gap"/>
    <c:showDLblsOverMax val="0"/>
  </c:chart>
  <c:printSettings>
    <c:headerFooter/>
    <c:pageMargins b="0.75000000000000577" l="0.70000000000000062" r="0.70000000000000062" t="0.750000000000005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r>
              <a:rPr lang="nl-NL" sz="1100" b="1">
                <a:solidFill>
                  <a:schemeClr val="tx1"/>
                </a:solidFill>
              </a:rPr>
              <a:t>Ontwikkeling</a:t>
            </a:r>
            <a:r>
              <a:rPr lang="nl-NL" sz="1100" b="1" baseline="0">
                <a:solidFill>
                  <a:schemeClr val="tx1"/>
                </a:solidFill>
              </a:rPr>
              <a:t> liquiditeit eind 2016 - 2017</a:t>
            </a:r>
            <a:endParaRPr lang="nl-NL" sz="1100" b="1">
              <a:solidFill>
                <a:schemeClr val="tx1"/>
              </a:solidFill>
            </a:endParaRPr>
          </a:p>
        </c:rich>
      </c:tx>
      <c:layout>
        <c:manualLayout>
          <c:xMode val="edge"/>
          <c:yMode val="edge"/>
          <c:x val="0.4729471574080763"/>
          <c:y val="3.6824877250409165E-2"/>
        </c:manualLayout>
      </c:layout>
      <c:overlay val="0"/>
      <c:spPr>
        <a:noFill/>
        <a:ln>
          <a:noFill/>
        </a:ln>
        <a:effectLst/>
      </c:spPr>
    </c:title>
    <c:autoTitleDeleted val="0"/>
    <c:plotArea>
      <c:layout>
        <c:manualLayout>
          <c:layoutTarget val="inner"/>
          <c:xMode val="edge"/>
          <c:yMode val="edge"/>
          <c:x val="9.4699848298779171E-2"/>
          <c:y val="0.21563860667634252"/>
          <c:w val="0.49571949721881098"/>
          <c:h val="0.64648040638606674"/>
        </c:manualLayout>
      </c:layout>
      <c:barChart>
        <c:barDir val="col"/>
        <c:grouping val="clustered"/>
        <c:varyColors val="0"/>
        <c:ser>
          <c:idx val="0"/>
          <c:order val="0"/>
          <c:tx>
            <c:strRef>
              <c:f>Balansprognose!$E$40</c:f>
              <c:strCache>
                <c:ptCount val="1"/>
                <c:pt idx="0">
                  <c:v>Quick ratio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nl-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Balansprognose!$F$34:$G$34</c:f>
              <c:strCache>
                <c:ptCount val="2"/>
                <c:pt idx="0">
                  <c:v>Jaarrek. 2016</c:v>
                </c:pt>
                <c:pt idx="1">
                  <c:v>Begroting 2017</c:v>
                </c:pt>
              </c:strCache>
            </c:strRef>
          </c:cat>
          <c:val>
            <c:numRef>
              <c:f>Balansprognose!$F$40:$G$40</c:f>
              <c:numCache>
                <c:formatCode>0.0</c:formatCode>
                <c:ptCount val="2"/>
                <c:pt idx="0">
                  <c:v>0.80001626545217952</c:v>
                </c:pt>
                <c:pt idx="1">
                  <c:v>0.80001626545217952</c:v>
                </c:pt>
              </c:numCache>
            </c:numRef>
          </c:val>
          <c:extLst xmlns:c16r2="http://schemas.microsoft.com/office/drawing/2015/06/chart">
            <c:ext xmlns:c16="http://schemas.microsoft.com/office/drawing/2014/chart" uri="{C3380CC4-5D6E-409C-BE32-E72D297353CC}">
              <c16:uniqueId val="{00000000-6DA0-493A-A6DA-D7B4BFE53422}"/>
            </c:ext>
          </c:extLst>
        </c:ser>
        <c:ser>
          <c:idx val="1"/>
          <c:order val="1"/>
          <c:tx>
            <c:strRef>
              <c:f>Balansprognose!$E$41</c:f>
              <c:strCache>
                <c:ptCount val="1"/>
                <c:pt idx="0">
                  <c:v>Primair surplus in % van LL schuld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nl-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Balansprognose!$F$34:$G$34</c:f>
              <c:strCache>
                <c:ptCount val="2"/>
                <c:pt idx="0">
                  <c:v>Jaarrek. 2016</c:v>
                </c:pt>
                <c:pt idx="1">
                  <c:v>Begroting 2017</c:v>
                </c:pt>
              </c:strCache>
            </c:strRef>
          </c:cat>
          <c:val>
            <c:numRef>
              <c:f>Balansprognose!$F$41:$G$41</c:f>
              <c:numCache>
                <c:formatCode>0.0%</c:formatCode>
                <c:ptCount val="2"/>
                <c:pt idx="0">
                  <c:v>1.3971315453384418E-2</c:v>
                </c:pt>
                <c:pt idx="1">
                  <c:v>1.3298469673257853E-2</c:v>
                </c:pt>
              </c:numCache>
            </c:numRef>
          </c:val>
          <c:extLst xmlns:c16r2="http://schemas.microsoft.com/office/drawing/2015/06/chart">
            <c:ext xmlns:c16="http://schemas.microsoft.com/office/drawing/2014/chart" uri="{C3380CC4-5D6E-409C-BE32-E72D297353CC}">
              <c16:uniqueId val="{00000001-6DA0-493A-A6DA-D7B4BFE53422}"/>
            </c:ext>
          </c:extLst>
        </c:ser>
        <c:dLbls>
          <c:showLegendKey val="0"/>
          <c:showVal val="0"/>
          <c:showCatName val="0"/>
          <c:showSerName val="0"/>
          <c:showPercent val="0"/>
          <c:showBubbleSize val="0"/>
        </c:dLbls>
        <c:gapWidth val="219"/>
        <c:overlap val="-27"/>
        <c:axId val="160484736"/>
        <c:axId val="160494720"/>
      </c:barChart>
      <c:catAx>
        <c:axId val="160484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nl-NL"/>
          </a:p>
        </c:txPr>
        <c:crossAx val="160494720"/>
        <c:crosses val="autoZero"/>
        <c:auto val="1"/>
        <c:lblAlgn val="ctr"/>
        <c:lblOffset val="100"/>
        <c:noMultiLvlLbl val="0"/>
      </c:catAx>
      <c:valAx>
        <c:axId val="160494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nl-NL"/>
          </a:p>
        </c:txPr>
        <c:crossAx val="160484736"/>
        <c:crosses val="autoZero"/>
        <c:crossBetween val="between"/>
      </c:valAx>
      <c:spPr>
        <a:noFill/>
        <a:ln>
          <a:noFill/>
        </a:ln>
        <a:effectLst/>
      </c:spPr>
    </c:plotArea>
    <c:legend>
      <c:legendPos val="r"/>
      <c:layout>
        <c:manualLayout>
          <c:xMode val="edge"/>
          <c:yMode val="edge"/>
          <c:x val="0.67802734233908823"/>
          <c:y val="0.43123778613304686"/>
          <c:w val="0.26463320811962721"/>
          <c:h val="0.218910208792841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NL"/>
    </a:p>
  </c:txPr>
  <c:printSettings>
    <c:headerFooter/>
    <c:pageMargins b="0.75" l="0.7" r="0.7" t="0.75" header="0.3" footer="0.3"/>
    <c:pageSetup paperSize="9" orientation="landscape" horizontalDpi="-2"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a:t>Inkomensmix 2016</a:t>
            </a:r>
          </a:p>
        </c:rich>
      </c:tx>
      <c:layout>
        <c:manualLayout>
          <c:xMode val="edge"/>
          <c:yMode val="edge"/>
          <c:x val="4.272900262467192E-2"/>
          <c:y val="2.7777777777777776E-2"/>
        </c:manualLayout>
      </c:layout>
      <c:overlay val="0"/>
      <c:spPr>
        <a:noFill/>
        <a:ln>
          <a:noFill/>
        </a:ln>
        <a:effectLst/>
      </c:spPr>
    </c:title>
    <c:autoTitleDeleted val="0"/>
    <c:plotArea>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E0E0-49DF-91C2-E01F4DB707D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E0E0-49DF-91C2-E01F4DB707D2}"/>
              </c:ext>
            </c:extLst>
          </c:dPt>
          <c:dPt>
            <c:idx val="2"/>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2-17CE-4C2C-850B-612822A56A57}"/>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E0E0-49DF-91C2-E01F4DB707D2}"/>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E0E0-49DF-91C2-E01F4DB707D2}"/>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E0E0-49DF-91C2-E01F4DB707D2}"/>
              </c:ext>
            </c:extLst>
          </c:dPt>
          <c:dPt>
            <c:idx val="6"/>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7-17CE-4C2C-850B-612822A56A57}"/>
              </c:ext>
            </c:extLst>
          </c:dPt>
          <c:dPt>
            <c:idx val="7"/>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A-17CE-4C2C-850B-612822A56A57}"/>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E0E0-49DF-91C2-E01F4DB707D2}"/>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D6D2-416A-882E-2CCDFF32509A}"/>
              </c:ext>
            </c:extLst>
          </c:dPt>
          <c:cat>
            <c:strRef>
              <c:f>'Inkomsten &amp; uitgaven'!$P$2:$P$10</c:f>
              <c:strCache>
                <c:ptCount val="9"/>
                <c:pt idx="0">
                  <c:v>Rijksoverdrachten</c:v>
                </c:pt>
                <c:pt idx="1">
                  <c:v>OZB</c:v>
                </c:pt>
                <c:pt idx="2">
                  <c:v>Riool rechten</c:v>
                </c:pt>
                <c:pt idx="3">
                  <c:v>Afvalstoffenheffing</c:v>
                </c:pt>
                <c:pt idx="4">
                  <c:v>Bouwgrond </c:v>
                </c:pt>
                <c:pt idx="5">
                  <c:v>Overige belastingen</c:v>
                </c:pt>
                <c:pt idx="6">
                  <c:v>Overige rechten &amp; leges</c:v>
                </c:pt>
                <c:pt idx="7">
                  <c:v>Rente en dividend</c:v>
                </c:pt>
                <c:pt idx="8">
                  <c:v>Overige eigen inkomsten</c:v>
                </c:pt>
              </c:strCache>
            </c:strRef>
          </c:cat>
          <c:val>
            <c:numRef>
              <c:f>'Inkomsten &amp; uitgaven'!$Q$2:$Q$10</c:f>
              <c:numCache>
                <c:formatCode>0.0%</c:formatCode>
                <c:ptCount val="9"/>
                <c:pt idx="0">
                  <c:v>0.69142107316824353</c:v>
                </c:pt>
                <c:pt idx="1">
                  <c:v>7.4122837313117196E-2</c:v>
                </c:pt>
                <c:pt idx="2">
                  <c:v>4.1673368001572578E-2</c:v>
                </c:pt>
                <c:pt idx="3">
                  <c:v>3.7884880001429616E-2</c:v>
                </c:pt>
                <c:pt idx="4">
                  <c:v>4.4675566039421723E-2</c:v>
                </c:pt>
                <c:pt idx="5">
                  <c:v>2.3249164566915063E-2</c:v>
                </c:pt>
                <c:pt idx="6">
                  <c:v>1.8745867510141352E-2</c:v>
                </c:pt>
                <c:pt idx="7">
                  <c:v>6.0001965724905742E-3</c:v>
                </c:pt>
                <c:pt idx="8">
                  <c:v>6.2227046826668402E-2</c:v>
                </c:pt>
              </c:numCache>
            </c:numRef>
          </c:val>
          <c:extLst xmlns:c16r2="http://schemas.microsoft.com/office/drawing/2015/06/chart">
            <c:ext xmlns:c16="http://schemas.microsoft.com/office/drawing/2014/chart" uri="{C3380CC4-5D6E-409C-BE32-E72D297353CC}">
              <c16:uniqueId val="{00000000-17CE-4C2C-850B-612822A56A57}"/>
            </c:ext>
          </c:extLst>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2671762</xdr:colOff>
      <xdr:row>21</xdr:row>
      <xdr:rowOff>171449</xdr:rowOff>
    </xdr:from>
    <xdr:to>
      <xdr:col>11</xdr:col>
      <xdr:colOff>940593</xdr:colOff>
      <xdr:row>43</xdr:row>
      <xdr:rowOff>161924</xdr:rowOff>
    </xdr:to>
    <xdr:graphicFrame macro="">
      <xdr:nvGraphicFramePr>
        <xdr:cNvPr id="4135" name="Grafiek 2">
          <a:extLst>
            <a:ext uri="{FF2B5EF4-FFF2-40B4-BE49-F238E27FC236}">
              <a16:creationId xmlns:a16="http://schemas.microsoft.com/office/drawing/2014/main" xmlns="" id="{00000000-0008-0000-0000-00002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628650</xdr:colOff>
      <xdr:row>22</xdr:row>
      <xdr:rowOff>9525</xdr:rowOff>
    </xdr:from>
    <xdr:to>
      <xdr:col>5</xdr:col>
      <xdr:colOff>2476500</xdr:colOff>
      <xdr:row>44</xdr:row>
      <xdr:rowOff>0</xdr:rowOff>
    </xdr:to>
    <xdr:graphicFrame macro="">
      <xdr:nvGraphicFramePr>
        <xdr:cNvPr id="6" name="Grafiek 3">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466725</xdr:colOff>
      <xdr:row>21</xdr:row>
      <xdr:rowOff>161925</xdr:rowOff>
    </xdr:from>
    <xdr:to>
      <xdr:col>30</xdr:col>
      <xdr:colOff>933450</xdr:colOff>
      <xdr:row>43</xdr:row>
      <xdr:rowOff>161924</xdr:rowOff>
    </xdr:to>
    <xdr:graphicFrame macro="">
      <xdr:nvGraphicFramePr>
        <xdr:cNvPr id="2" name="Grafiek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0.45681</cdr:x>
      <cdr:y>0.03831</cdr:y>
    </cdr:from>
    <cdr:to>
      <cdr:x>0.98935</cdr:x>
      <cdr:y>0.11824</cdr:y>
    </cdr:to>
    <cdr:sp macro="" textlink="">
      <cdr:nvSpPr>
        <cdr:cNvPr id="2" name="Tekstvak 1">
          <a:extLst xmlns:a="http://schemas.openxmlformats.org/drawingml/2006/main">
            <a:ext uri="{FF2B5EF4-FFF2-40B4-BE49-F238E27FC236}">
              <a16:creationId xmlns:a16="http://schemas.microsoft.com/office/drawing/2014/main" xmlns="" id="{A1D3C591-34F5-4C9B-ADD4-2BFA2A519C1A}"/>
            </a:ext>
          </a:extLst>
        </cdr:cNvPr>
        <cdr:cNvSpPr txBox="1"/>
      </cdr:nvSpPr>
      <cdr:spPr>
        <a:xfrm xmlns:a="http://schemas.openxmlformats.org/drawingml/2006/main">
          <a:off x="2858676" y="135009"/>
          <a:ext cx="3332574" cy="2817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l-NL" sz="1100" b="1"/>
            <a:t>Ontwikkeling netto schuldquote eind 2017-2027</a:t>
          </a:r>
        </a:p>
      </cdr:txBody>
    </cdr:sp>
  </cdr:relSizeAnchor>
</c:userShapes>
</file>

<file path=xl/drawings/drawing3.xml><?xml version="1.0" encoding="utf-8"?>
<c:userShapes xmlns:c="http://schemas.openxmlformats.org/drawingml/2006/chart">
  <cdr:relSizeAnchor xmlns:cdr="http://schemas.openxmlformats.org/drawingml/2006/chartDrawing">
    <cdr:from>
      <cdr:x>0.03065</cdr:x>
      <cdr:y>0.03327</cdr:y>
    </cdr:from>
    <cdr:to>
      <cdr:x>0.37098</cdr:x>
      <cdr:y>0.10847</cdr:y>
    </cdr:to>
    <cdr:sp macro="" textlink="Macrogegevens!$C$2">
      <cdr:nvSpPr>
        <cdr:cNvPr id="2" name="Tekstvak 1">
          <a:extLst xmlns:a="http://schemas.openxmlformats.org/drawingml/2006/main">
            <a:ext uri="{FF2B5EF4-FFF2-40B4-BE49-F238E27FC236}">
              <a16:creationId xmlns:a16="http://schemas.microsoft.com/office/drawing/2014/main" xmlns="" id="{7D2C9AF5-3337-4D61-B6A5-5549FDC43714}"/>
            </a:ext>
          </a:extLst>
        </cdr:cNvPr>
        <cdr:cNvSpPr txBox="1"/>
      </cdr:nvSpPr>
      <cdr:spPr>
        <a:xfrm xmlns:a="http://schemas.openxmlformats.org/drawingml/2006/main">
          <a:off x="193251" y="120183"/>
          <a:ext cx="2145967" cy="2716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274D085-B9FA-4CAF-A9DB-7A33D350A29D}" type="TxLink">
            <a:rPr lang="en-US" sz="1100" b="1" i="0" u="none" strike="noStrike">
              <a:solidFill>
                <a:srgbClr val="000000"/>
              </a:solidFill>
              <a:latin typeface="+mn-lt"/>
              <a:cs typeface="Arial"/>
            </a:rPr>
            <a:pPr/>
            <a:t>Aa en Hunze</a:t>
          </a:fld>
          <a:endParaRPr lang="nl-NL" sz="1100">
            <a:latin typeface="+mn-lt"/>
          </a:endParaRPr>
        </a:p>
      </cdr:txBody>
    </cdr:sp>
  </cdr:relSizeAnchor>
  <cdr:relSizeAnchor xmlns:cdr="http://schemas.openxmlformats.org/drawingml/2006/chartDrawing">
    <cdr:from>
      <cdr:x>0.50084</cdr:x>
      <cdr:y>0.02852</cdr:y>
    </cdr:from>
    <cdr:to>
      <cdr:x>0.98397</cdr:x>
      <cdr:y>0.08324</cdr:y>
    </cdr:to>
    <cdr:sp macro="" textlink="">
      <cdr:nvSpPr>
        <cdr:cNvPr id="3" name="Tekstvak 2">
          <a:extLst xmlns:a="http://schemas.openxmlformats.org/drawingml/2006/main">
            <a:ext uri="{FF2B5EF4-FFF2-40B4-BE49-F238E27FC236}">
              <a16:creationId xmlns:a16="http://schemas.microsoft.com/office/drawing/2014/main" xmlns="" id="{F9B312E0-0D2B-4E7C-9C80-4412F6514AFE}"/>
            </a:ext>
          </a:extLst>
        </cdr:cNvPr>
        <cdr:cNvSpPr txBox="1"/>
      </cdr:nvSpPr>
      <cdr:spPr>
        <a:xfrm xmlns:a="http://schemas.openxmlformats.org/drawingml/2006/main">
          <a:off x="3158101" y="103037"/>
          <a:ext cx="3046400" cy="1976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indent="0"/>
          <a:r>
            <a:rPr lang="nl-NL" sz="1100" b="1">
              <a:latin typeface="+mn-lt"/>
              <a:ea typeface="+mn-ea"/>
              <a:cs typeface="+mn-cs"/>
            </a:rPr>
            <a:t>kengetallen houdbaarheid 2016 - 2017</a:t>
          </a:r>
        </a:p>
        <a:p xmlns:a="http://schemas.openxmlformats.org/drawingml/2006/main">
          <a:pPr marL="0" indent="0"/>
          <a:endParaRPr lang="nl-NL" sz="1100" b="1">
            <a:latin typeface="+mn-lt"/>
            <a:ea typeface="+mn-ea"/>
            <a:cs typeface="+mn-cs"/>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328930</xdr:colOff>
      <xdr:row>0</xdr:row>
      <xdr:rowOff>163195</xdr:rowOff>
    </xdr:from>
    <xdr:to>
      <xdr:col>16</xdr:col>
      <xdr:colOff>195580</xdr:colOff>
      <xdr:row>17</xdr:row>
      <xdr:rowOff>153670</xdr:rowOff>
    </xdr:to>
    <xdr:graphicFrame macro="">
      <xdr:nvGraphicFramePr>
        <xdr:cNvPr id="2061" name="Grafiek 1">
          <a:extLst>
            <a:ext uri="{FF2B5EF4-FFF2-40B4-BE49-F238E27FC236}">
              <a16:creationId xmlns:a16="http://schemas.microsoft.com/office/drawing/2014/main" xmlns="" id="{00000000-0008-0000-0100-00000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339090</xdr:colOff>
      <xdr:row>18</xdr:row>
      <xdr:rowOff>132080</xdr:rowOff>
    </xdr:from>
    <xdr:to>
      <xdr:col>16</xdr:col>
      <xdr:colOff>205739</xdr:colOff>
      <xdr:row>40</xdr:row>
      <xdr:rowOff>6985</xdr:rowOff>
    </xdr:to>
    <xdr:graphicFrame macro="">
      <xdr:nvGraphicFramePr>
        <xdr:cNvPr id="2" name="Grafiek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345440</xdr:colOff>
      <xdr:row>41</xdr:row>
      <xdr:rowOff>55880</xdr:rowOff>
    </xdr:from>
    <xdr:to>
      <xdr:col>16</xdr:col>
      <xdr:colOff>213360</xdr:colOff>
      <xdr:row>61</xdr:row>
      <xdr:rowOff>101600</xdr:rowOff>
    </xdr:to>
    <xdr:graphicFrame macro="">
      <xdr:nvGraphicFramePr>
        <xdr:cNvPr id="3" name="Grafiek 2">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0.02431</cdr:x>
      <cdr:y>0.01736</cdr:y>
    </cdr:from>
    <cdr:to>
      <cdr:x>0.38194</cdr:x>
      <cdr:y>0.09028</cdr:y>
    </cdr:to>
    <cdr:sp macro="" textlink="Macrogegevens!$C$2">
      <cdr:nvSpPr>
        <cdr:cNvPr id="4" name="Tekstvak 3">
          <a:extLst xmlns:a="http://schemas.openxmlformats.org/drawingml/2006/main">
            <a:ext uri="{FF2B5EF4-FFF2-40B4-BE49-F238E27FC236}">
              <a16:creationId xmlns:a16="http://schemas.microsoft.com/office/drawing/2014/main" xmlns="" id="{0A1A0206-4226-4F50-B439-E2CD4E31D205}"/>
            </a:ext>
          </a:extLst>
        </cdr:cNvPr>
        <cdr:cNvSpPr txBox="1"/>
      </cdr:nvSpPr>
      <cdr:spPr>
        <a:xfrm xmlns:a="http://schemas.openxmlformats.org/drawingml/2006/main">
          <a:off x="133352" y="47625"/>
          <a:ext cx="196215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C463A941-0D9B-472A-8F06-3112169CB947}" type="TxLink">
            <a:rPr lang="en-US" sz="1100" b="1" i="0" u="none" strike="noStrike">
              <a:solidFill>
                <a:srgbClr val="000000"/>
              </a:solidFill>
              <a:latin typeface="+mn-lt"/>
            </a:rPr>
            <a:pPr/>
            <a:t>Aa en Hunze</a:t>
          </a:fld>
          <a:endParaRPr lang="nl-NL" sz="1100">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0.0097</cdr:x>
      <cdr:y>0.0221</cdr:y>
    </cdr:from>
    <cdr:to>
      <cdr:x>0.37513</cdr:x>
      <cdr:y>0.08564</cdr:y>
    </cdr:to>
    <cdr:sp macro="" textlink="">
      <cdr:nvSpPr>
        <cdr:cNvPr id="2" name="Tekstvak 1">
          <a:extLst xmlns:a="http://schemas.openxmlformats.org/drawingml/2006/main">
            <a:ext uri="{FF2B5EF4-FFF2-40B4-BE49-F238E27FC236}">
              <a16:creationId xmlns:a16="http://schemas.microsoft.com/office/drawing/2014/main" xmlns="" id="{1F2B7C3E-37EF-401A-B059-BDFE70A796CB}"/>
            </a:ext>
          </a:extLst>
        </cdr:cNvPr>
        <cdr:cNvSpPr txBox="1"/>
      </cdr:nvSpPr>
      <cdr:spPr>
        <a:xfrm xmlns:a="http://schemas.openxmlformats.org/drawingml/2006/main">
          <a:off x="50800" y="76200"/>
          <a:ext cx="1914411" cy="2190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i="0" u="none" strike="noStrike">
            <a:solidFill>
              <a:srgbClr val="000000"/>
            </a:solidFill>
            <a:latin typeface="Arialri"/>
          </a:endParaRPr>
        </a:p>
        <a:p xmlns:a="http://schemas.openxmlformats.org/drawingml/2006/main">
          <a:endParaRPr lang="en-US" sz="1000" b="1" i="0" u="none" strike="noStrike">
            <a:solidFill>
              <a:srgbClr val="000000"/>
            </a:solidFill>
            <a:latin typeface="Arialri"/>
          </a:endParaRPr>
        </a:p>
      </cdr:txBody>
    </cdr:sp>
  </cdr:relSizeAnchor>
  <cdr:relSizeAnchor xmlns:cdr="http://schemas.openxmlformats.org/drawingml/2006/chartDrawing">
    <cdr:from>
      <cdr:x>0.03487</cdr:x>
      <cdr:y>0.04147</cdr:y>
    </cdr:from>
    <cdr:to>
      <cdr:x>0.3925</cdr:x>
      <cdr:y>0.09955</cdr:y>
    </cdr:to>
    <cdr:sp macro="" textlink="">
      <cdr:nvSpPr>
        <cdr:cNvPr id="3" name="Tekstvak 1">
          <a:extLst xmlns:a="http://schemas.openxmlformats.org/drawingml/2006/main">
            <a:ext uri="{FF2B5EF4-FFF2-40B4-BE49-F238E27FC236}">
              <a16:creationId xmlns:a16="http://schemas.microsoft.com/office/drawing/2014/main" xmlns="" id="{A3FF8521-9632-4569-8A9E-19D58ADB06C4}"/>
            </a:ext>
          </a:extLst>
        </cdr:cNvPr>
        <cdr:cNvSpPr txBox="1"/>
      </cdr:nvSpPr>
      <cdr:spPr>
        <a:xfrm xmlns:a="http://schemas.openxmlformats.org/drawingml/2006/main">
          <a:off x="193040" y="152400"/>
          <a:ext cx="1979815" cy="213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nl-NL" sz="1100">
            <a:latin typeface="Calibri"/>
          </a:endParaRPr>
        </a:p>
      </cdr:txBody>
    </cdr:sp>
  </cdr:relSizeAnchor>
  <cdr:relSizeAnchor xmlns:cdr="http://schemas.openxmlformats.org/drawingml/2006/chartDrawing">
    <cdr:from>
      <cdr:x>0.4306</cdr:x>
      <cdr:y>0.03318</cdr:y>
    </cdr:from>
    <cdr:to>
      <cdr:x>0.62881</cdr:x>
      <cdr:y>0.10783</cdr:y>
    </cdr:to>
    <cdr:sp macro="" textlink="">
      <cdr:nvSpPr>
        <cdr:cNvPr id="4" name="Tekstvak 3">
          <a:extLst xmlns:a="http://schemas.openxmlformats.org/drawingml/2006/main">
            <a:ext uri="{FF2B5EF4-FFF2-40B4-BE49-F238E27FC236}">
              <a16:creationId xmlns:a16="http://schemas.microsoft.com/office/drawing/2014/main" xmlns="" id="{64218DF5-9DC8-4FF6-9DC1-D948BB4021D4}"/>
            </a:ext>
          </a:extLst>
        </cdr:cNvPr>
        <cdr:cNvSpPr txBox="1"/>
      </cdr:nvSpPr>
      <cdr:spPr>
        <a:xfrm xmlns:a="http://schemas.openxmlformats.org/drawingml/2006/main">
          <a:off x="2383790" y="121920"/>
          <a:ext cx="1097280" cy="27432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nl-NL" sz="1100"/>
        </a:p>
      </cdr:txBody>
    </cdr:sp>
  </cdr:relSizeAnchor>
  <cdr:relSizeAnchor xmlns:cdr="http://schemas.openxmlformats.org/drawingml/2006/chartDrawing">
    <cdr:from>
      <cdr:x>0.42094</cdr:x>
      <cdr:y>0.03871</cdr:y>
    </cdr:from>
    <cdr:to>
      <cdr:x>0.94032</cdr:x>
      <cdr:y>0.10783</cdr:y>
    </cdr:to>
    <cdr:sp macro="" textlink="">
      <cdr:nvSpPr>
        <cdr:cNvPr id="5" name="Tekstvak 4">
          <a:extLst xmlns:a="http://schemas.openxmlformats.org/drawingml/2006/main">
            <a:ext uri="{FF2B5EF4-FFF2-40B4-BE49-F238E27FC236}">
              <a16:creationId xmlns:a16="http://schemas.microsoft.com/office/drawing/2014/main" xmlns="" id="{9BDD626D-ABB1-4EDE-BC9C-916A868C568C}"/>
            </a:ext>
          </a:extLst>
        </cdr:cNvPr>
        <cdr:cNvSpPr txBox="1"/>
      </cdr:nvSpPr>
      <cdr:spPr>
        <a:xfrm xmlns:a="http://schemas.openxmlformats.org/drawingml/2006/main">
          <a:off x="2253288" y="135760"/>
          <a:ext cx="2780266" cy="24241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nl-NL" sz="1100" b="1">
              <a:latin typeface="+mn-lt"/>
              <a:ea typeface="+mn-ea"/>
              <a:cs typeface="+mn-cs"/>
            </a:rPr>
            <a:t>Ontwikkeling</a:t>
          </a:r>
          <a:r>
            <a:rPr lang="nl-NL" sz="1100" b="1"/>
            <a:t> schuldbelasting  eind 2016 - 2017</a:t>
          </a:r>
        </a:p>
      </cdr:txBody>
    </cdr:sp>
  </cdr:relSizeAnchor>
  <cdr:relSizeAnchor xmlns:cdr="http://schemas.openxmlformats.org/drawingml/2006/chartDrawing">
    <cdr:from>
      <cdr:x>0.04588</cdr:x>
      <cdr:y>0.04976</cdr:y>
    </cdr:from>
    <cdr:to>
      <cdr:x>0.40351</cdr:x>
      <cdr:y>0.10784</cdr:y>
    </cdr:to>
    <cdr:sp macro="" textlink="Macrogegevens!$C$2">
      <cdr:nvSpPr>
        <cdr:cNvPr id="9" name="Tekstvak 1">
          <a:extLst xmlns:a="http://schemas.openxmlformats.org/drawingml/2006/main">
            <a:ext uri="{FF2B5EF4-FFF2-40B4-BE49-F238E27FC236}">
              <a16:creationId xmlns:a16="http://schemas.microsoft.com/office/drawing/2014/main" xmlns="" id="{3FC3FCF2-5996-4575-A911-8DB70F490BC9}"/>
            </a:ext>
          </a:extLst>
        </cdr:cNvPr>
        <cdr:cNvSpPr txBox="1"/>
      </cdr:nvSpPr>
      <cdr:spPr>
        <a:xfrm xmlns:a="http://schemas.openxmlformats.org/drawingml/2006/main">
          <a:off x="253988" y="182869"/>
          <a:ext cx="1979815" cy="2134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83DEA5E-274B-45FA-884D-FF4B5D54D5D1}" type="TxLink">
            <a:rPr lang="en-US" sz="1000" b="1" i="0" u="none" strike="noStrike">
              <a:solidFill>
                <a:srgbClr val="000000"/>
              </a:solidFill>
              <a:latin typeface="Arial"/>
              <a:cs typeface="Arial"/>
            </a:rPr>
            <a:pPr/>
            <a:t>Aa en Hunze</a:t>
          </a:fld>
          <a:endParaRPr lang="nl-NL" sz="1100">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0.03303</cdr:x>
      <cdr:y>0.03774</cdr:y>
    </cdr:from>
    <cdr:to>
      <cdr:x>0.39058</cdr:x>
      <cdr:y>0.09871</cdr:y>
    </cdr:to>
    <cdr:sp macro="" textlink="Macrogegevens!$C$2">
      <cdr:nvSpPr>
        <cdr:cNvPr id="3" name="Tekstvak 1">
          <a:extLst xmlns:a="http://schemas.openxmlformats.org/drawingml/2006/main">
            <a:ext uri="{FF2B5EF4-FFF2-40B4-BE49-F238E27FC236}">
              <a16:creationId xmlns:a16="http://schemas.microsoft.com/office/drawing/2014/main" xmlns="" id="{1A0FE1EA-9B64-4D78-A462-C93BDDEA0EA0}"/>
            </a:ext>
          </a:extLst>
        </cdr:cNvPr>
        <cdr:cNvSpPr txBox="1"/>
      </cdr:nvSpPr>
      <cdr:spPr>
        <a:xfrm xmlns:a="http://schemas.openxmlformats.org/drawingml/2006/main">
          <a:off x="182880" y="132080"/>
          <a:ext cx="1979815" cy="2134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FAAC861-D8DB-4D6B-8963-4A079320218F}" type="TxLink">
            <a:rPr lang="en-US" sz="1000" b="1" i="0" u="none" strike="noStrike">
              <a:solidFill>
                <a:srgbClr val="000000"/>
              </a:solidFill>
              <a:latin typeface="Arial"/>
              <a:cs typeface="Arial"/>
            </a:rPr>
            <a:pPr/>
            <a:t>Aa en Hunze</a:t>
          </a:fld>
          <a:endParaRPr lang="nl-NL" sz="1100">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14</xdr:col>
      <xdr:colOff>1266825</xdr:colOff>
      <xdr:row>11</xdr:row>
      <xdr:rowOff>28575</xdr:rowOff>
    </xdr:from>
    <xdr:to>
      <xdr:col>18</xdr:col>
      <xdr:colOff>114300</xdr:colOff>
      <xdr:row>26</xdr:row>
      <xdr:rowOff>42863</xdr:rowOff>
    </xdr:to>
    <xdr:graphicFrame macro="">
      <xdr:nvGraphicFramePr>
        <xdr:cNvPr id="2" name="Grafiek 1">
          <a:extLst>
            <a:ext uri="{FF2B5EF4-FFF2-40B4-BE49-F238E27FC236}">
              <a16:creationId xmlns:a16="http://schemas.microsoft.com/office/drawing/2014/main" xmlns=""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45"/>
  <sheetViews>
    <sheetView showGridLines="0" tabSelected="1" zoomScale="80" zoomScaleNormal="80" workbookViewId="0">
      <selection activeCell="I3" sqref="I3"/>
    </sheetView>
  </sheetViews>
  <sheetFormatPr defaultColWidth="9.140625" defaultRowHeight="12.75" x14ac:dyDescent="0.2"/>
  <cols>
    <col min="1" max="1" width="4" style="16" bestFit="1" customWidth="1"/>
    <col min="2" max="2" width="42.42578125" style="16" bestFit="1" customWidth="1"/>
    <col min="3" max="3" width="18.7109375" style="16" customWidth="1"/>
    <col min="4" max="4" width="4.42578125" style="16" customWidth="1"/>
    <col min="5" max="5" width="4" style="16" bestFit="1" customWidth="1"/>
    <col min="6" max="6" width="56.28515625" style="16" bestFit="1" customWidth="1"/>
    <col min="7" max="7" width="18.7109375" style="16" customWidth="1"/>
    <col min="8" max="8" width="17.7109375" style="3" customWidth="1"/>
    <col min="9" max="9" width="11.28515625" style="3" customWidth="1"/>
    <col min="10" max="10" width="6" style="5" customWidth="1"/>
    <col min="11" max="11" width="17.28515625" style="5" bestFit="1" customWidth="1"/>
    <col min="12" max="12" width="17.85546875" style="3" customWidth="1"/>
    <col min="13" max="15" width="17.7109375" style="5" customWidth="1"/>
    <col min="16" max="16" width="32.85546875" style="3" hidden="1" customWidth="1"/>
    <col min="17" max="18" width="14.42578125" style="3" hidden="1" customWidth="1"/>
    <col min="19" max="19" width="18.7109375" style="3" hidden="1" customWidth="1"/>
    <col min="20" max="20" width="17.7109375" style="3" customWidth="1"/>
    <col min="21" max="23" width="17.7109375" style="3" hidden="1" customWidth="1"/>
    <col min="24" max="24" width="17.7109375" style="3" customWidth="1"/>
    <col min="25" max="25" width="18.7109375" style="3" hidden="1" customWidth="1"/>
    <col min="26" max="26" width="14.85546875" style="3" customWidth="1"/>
    <col min="27" max="27" width="17.5703125" style="16" bestFit="1" customWidth="1"/>
    <col min="28" max="28" width="19.28515625" style="3" customWidth="1"/>
    <col min="29" max="29" width="9.85546875" style="16" hidden="1" customWidth="1"/>
    <col min="30" max="30" width="25" style="16" customWidth="1"/>
    <col min="31" max="31" width="15" style="16" bestFit="1" customWidth="1"/>
    <col min="32" max="32" width="13.42578125" style="16" bestFit="1" customWidth="1"/>
    <col min="33" max="33" width="12.7109375" style="16" customWidth="1"/>
    <col min="34" max="34" width="9.140625" style="16" customWidth="1"/>
    <col min="35" max="35" width="17.140625" style="16" customWidth="1"/>
    <col min="36" max="36" width="11.7109375" style="16" customWidth="1"/>
    <col min="37" max="16384" width="9.140625" style="16"/>
  </cols>
  <sheetData>
    <row r="1" spans="1:36" x14ac:dyDescent="0.2">
      <c r="A1" s="294" t="s">
        <v>130</v>
      </c>
      <c r="B1" s="294"/>
      <c r="C1" s="52">
        <v>2017</v>
      </c>
      <c r="J1" s="102"/>
      <c r="K1" s="102"/>
      <c r="L1" s="103"/>
      <c r="M1" s="102"/>
      <c r="N1" s="102"/>
      <c r="O1" s="102"/>
      <c r="P1" s="103"/>
      <c r="Q1" s="103"/>
      <c r="R1" s="103"/>
      <c r="S1" s="103"/>
      <c r="T1" s="103"/>
      <c r="U1" s="103"/>
      <c r="V1" s="103"/>
      <c r="W1" s="103"/>
      <c r="X1" s="103"/>
      <c r="Y1" s="103"/>
      <c r="Z1" s="103"/>
      <c r="AA1" s="104"/>
    </row>
    <row r="2" spans="1:36" ht="13.15" x14ac:dyDescent="0.25">
      <c r="A2" s="59" t="s">
        <v>112</v>
      </c>
      <c r="B2" s="53"/>
      <c r="C2" s="85" t="s">
        <v>161</v>
      </c>
      <c r="E2" s="293" t="s">
        <v>589</v>
      </c>
      <c r="F2" s="293"/>
      <c r="G2" s="83" t="s">
        <v>878</v>
      </c>
      <c r="H2" s="84" t="s">
        <v>117</v>
      </c>
      <c r="I2" s="168" t="s">
        <v>580</v>
      </c>
      <c r="J2" s="1" t="s">
        <v>550</v>
      </c>
      <c r="K2" s="103"/>
      <c r="L2" s="103"/>
      <c r="M2" s="103"/>
      <c r="N2" s="103"/>
      <c r="O2" s="103"/>
      <c r="P2" s="103"/>
      <c r="Q2" s="103"/>
      <c r="R2" s="103"/>
      <c r="S2" s="103"/>
      <c r="T2" s="103"/>
      <c r="U2" s="103"/>
      <c r="V2" s="103"/>
      <c r="W2" s="103"/>
      <c r="X2" s="103"/>
      <c r="Y2" s="103"/>
      <c r="Z2" s="103"/>
      <c r="AA2" s="103"/>
      <c r="AC2" s="52" t="s">
        <v>153</v>
      </c>
      <c r="AE2" s="52"/>
    </row>
    <row r="3" spans="1:36" ht="13.15" x14ac:dyDescent="0.25">
      <c r="A3" s="293" t="s">
        <v>813</v>
      </c>
      <c r="B3" s="293"/>
      <c r="C3" s="70" t="s">
        <v>764</v>
      </c>
      <c r="D3" s="70"/>
      <c r="E3" s="53">
        <v>1</v>
      </c>
      <c r="F3" s="53" t="s">
        <v>742</v>
      </c>
      <c r="G3" s="57">
        <f>IF($G$2="Slechtweer",5%,$AC$3)</f>
        <v>0.05</v>
      </c>
      <c r="H3" s="54"/>
      <c r="I3" s="169">
        <v>0.02</v>
      </c>
      <c r="J3" s="282" t="s">
        <v>23</v>
      </c>
      <c r="K3" s="282" t="s">
        <v>67</v>
      </c>
      <c r="L3" s="282" t="s">
        <v>22</v>
      </c>
      <c r="M3" s="282" t="s">
        <v>150</v>
      </c>
      <c r="N3" s="282" t="s">
        <v>613</v>
      </c>
      <c r="O3" s="282" t="s">
        <v>548</v>
      </c>
      <c r="P3" s="103"/>
      <c r="Q3" s="103"/>
      <c r="R3" s="103"/>
      <c r="S3" s="105" t="s">
        <v>68</v>
      </c>
      <c r="T3" s="282" t="s">
        <v>149</v>
      </c>
      <c r="U3" s="105"/>
      <c r="V3" s="105"/>
      <c r="W3" s="105"/>
      <c r="X3" s="282" t="s">
        <v>572</v>
      </c>
      <c r="Y3" s="105" t="s">
        <v>683</v>
      </c>
      <c r="Z3" s="282" t="s">
        <v>111</v>
      </c>
      <c r="AA3" s="281" t="s">
        <v>649</v>
      </c>
      <c r="AB3" s="68" t="s">
        <v>581</v>
      </c>
      <c r="AC3" s="16">
        <f>IF(G2="Handmatig",I3,0%)</f>
        <v>0</v>
      </c>
    </row>
    <row r="4" spans="1:36" ht="13.15" x14ac:dyDescent="0.25">
      <c r="A4" s="53">
        <v>1</v>
      </c>
      <c r="B4" s="53" t="s">
        <v>870</v>
      </c>
      <c r="C4" s="60">
        <v>1.325E-2</v>
      </c>
      <c r="D4" s="20"/>
      <c r="E4" s="53">
        <v>2</v>
      </c>
      <c r="F4" s="53" t="s">
        <v>743</v>
      </c>
      <c r="G4" s="57">
        <f>IF($G$2="Slechtweer",5%,$AC$4)</f>
        <v>0.05</v>
      </c>
      <c r="H4" s="54"/>
      <c r="I4" s="56">
        <v>0.02</v>
      </c>
      <c r="J4" s="106">
        <f>SUM(C1,-1)</f>
        <v>2016</v>
      </c>
      <c r="K4" s="107">
        <f>AB4/Balansprognose!F35*-1</f>
        <v>0.57833413749352203</v>
      </c>
      <c r="L4" s="215">
        <f>Balansprognose!F35</f>
        <v>55959000</v>
      </c>
      <c r="M4" s="108" t="s">
        <v>152</v>
      </c>
      <c r="N4" s="108" t="s">
        <v>618</v>
      </c>
      <c r="O4" s="108" t="s">
        <v>151</v>
      </c>
      <c r="P4" s="103" t="s">
        <v>75</v>
      </c>
      <c r="Q4" s="103" t="s">
        <v>76</v>
      </c>
      <c r="R4" s="103" t="s">
        <v>77</v>
      </c>
      <c r="S4" s="215">
        <f>SUM(Balansprognose!B15)</f>
        <v>7900000</v>
      </c>
      <c r="T4" s="24"/>
      <c r="U4" s="24"/>
      <c r="V4" s="24"/>
      <c r="W4" s="24"/>
      <c r="X4" s="105"/>
      <c r="Y4" s="25">
        <f>SUM('Investeringen &amp; financiering'!P29,-S4)</f>
        <v>-40263000</v>
      </c>
      <c r="Z4" s="120">
        <f>C9</f>
        <v>25279</v>
      </c>
      <c r="AA4" s="121">
        <f>AB4/Z4</f>
        <v>-1280.2326041378219</v>
      </c>
      <c r="AB4" s="172">
        <f>SUM(Y4,S4)</f>
        <v>-32363000</v>
      </c>
      <c r="AC4" s="16">
        <f>IF(G2="Handmatig",I4,0%)</f>
        <v>0</v>
      </c>
      <c r="AE4" s="172"/>
    </row>
    <row r="5" spans="1:36" ht="13.15" x14ac:dyDescent="0.25">
      <c r="A5" s="53">
        <v>2</v>
      </c>
      <c r="B5" s="53" t="s">
        <v>644</v>
      </c>
      <c r="C5" s="60">
        <v>1.4250000000000001E-2</v>
      </c>
      <c r="D5" s="27"/>
      <c r="E5" s="53">
        <v>3</v>
      </c>
      <c r="F5" s="53" t="s">
        <v>744</v>
      </c>
      <c r="G5" s="57">
        <f>IF($G$2="Slechtweer",2%,$AC$5)</f>
        <v>0.02</v>
      </c>
      <c r="H5" s="54"/>
      <c r="I5" s="56">
        <v>0</v>
      </c>
      <c r="J5" s="103">
        <f>C1</f>
        <v>2017</v>
      </c>
      <c r="K5" s="107">
        <f t="shared" ref="K5:K14" si="0">AB5/L5*-1</f>
        <v>0.61502212024740799</v>
      </c>
      <c r="L5" s="31">
        <f>SUM(X5,'Inkomsten &amp; uitgaven'!I30,'Investeringen &amp; financiering'!E7,Balansprognose!C39,Balansprognose!C40,Balansprognose!C44)</f>
        <v>55959000</v>
      </c>
      <c r="M5" s="31">
        <f>SUM('Inkomsten &amp; uitgaven'!J30,-'Inkomsten &amp; uitgaven'!K30,'Inkomsten &amp; uitgaven'!G86,'Inkomsten &amp; uitgaven'!G85)</f>
        <v>55412023</v>
      </c>
      <c r="N5" s="215">
        <f>SUM('Investeringen &amp; financiering'!E7,Balansprognose!C44,-Balansprognose!C45)</f>
        <v>0</v>
      </c>
      <c r="O5" s="215">
        <f>-SUM('Investeringen &amp; financiering'!C6,'Investeringen &amp; financiering'!F6,'Investeringen &amp; financiering'!G6,'Investeringen &amp; financiering'!H6)</f>
        <v>2500000</v>
      </c>
      <c r="P5" s="109">
        <f>'Inkomsten &amp; uitgaven'!N30</f>
        <v>1614932.1730752925</v>
      </c>
      <c r="Q5" s="109">
        <f>'Investeringen &amp; financiering'!T6</f>
        <v>-2612350</v>
      </c>
      <c r="R5" s="109">
        <f>'Investeringen &amp; financiering'!R54</f>
        <v>-1055605.0000000005</v>
      </c>
      <c r="S5" s="31">
        <f>SUM('Investeringen &amp; financiering'!C53,'Investeringen &amp; financiering'!D53,-'Investeringen &amp; financiering'!C54,-'Investeringen &amp; financiering'!D54,Balansprognose!C41,Balansprognose!C42)</f>
        <v>7900000</v>
      </c>
      <c r="T5" s="24">
        <f>SUM('Investeringen &amp; financiering'!S6,'Investeringen &amp; financiering'!S54,'Inkomsten &amp; uitgaven'!M30)</f>
        <v>-1396085.3368279601</v>
      </c>
      <c r="U5" s="24"/>
      <c r="V5" s="24"/>
      <c r="W5" s="24"/>
      <c r="X5" s="215">
        <f>'Investeringen &amp; financiering'!T54</f>
        <v>335765.00000000006</v>
      </c>
      <c r="Y5" s="25">
        <f>SUM(Y4,R5,Q5,P5)</f>
        <v>-42316022.826924704</v>
      </c>
      <c r="Z5" s="120">
        <f>SUM(Z4,Z4*C12)</f>
        <v>25211.1</v>
      </c>
      <c r="AA5" s="121">
        <f t="shared" ref="AA5:AA14" si="1">AB5/Z5</f>
        <v>-1365.1138913781908</v>
      </c>
      <c r="AB5" s="172">
        <f>SUM(Y5,S4)</f>
        <v>-34416022.826924704</v>
      </c>
      <c r="AC5" s="16">
        <f>IF(G2="Handmatig",I5,0%)</f>
        <v>0</v>
      </c>
      <c r="AE5" s="278"/>
      <c r="AF5" s="172"/>
    </row>
    <row r="6" spans="1:36" ht="13.15" x14ac:dyDescent="0.25">
      <c r="A6" s="53">
        <v>3</v>
      </c>
      <c r="B6" s="53" t="s">
        <v>871</v>
      </c>
      <c r="C6" s="60">
        <v>1.7500000000000002E-2</v>
      </c>
      <c r="D6" s="20"/>
      <c r="E6" s="53">
        <v>4</v>
      </c>
      <c r="F6" s="53" t="s">
        <v>745</v>
      </c>
      <c r="G6" s="57">
        <f>IF($G$2="Slechtweer",2%,$AC$6)</f>
        <v>0.02</v>
      </c>
      <c r="H6" s="54"/>
      <c r="I6" s="56">
        <v>0</v>
      </c>
      <c r="J6" s="103">
        <f>SUM(C1,1)</f>
        <v>2018</v>
      </c>
      <c r="K6" s="107">
        <f t="shared" si="0"/>
        <v>0.7225621704512456</v>
      </c>
      <c r="L6" s="31">
        <f>SUM(X6,'Inkomsten &amp; uitgaven'!I31,'Investeringen &amp; financiering'!E9)</f>
        <v>55241019.213981159</v>
      </c>
      <c r="M6" s="31">
        <f>SUM('Inkomsten &amp; uitgaven'!J31,-'Inkomsten &amp; uitgaven'!K31,-'Investeringen &amp; financiering'!E8,-T6)</f>
        <v>56997603.10457328</v>
      </c>
      <c r="N6" s="24">
        <f>SUM('Investeringen &amp; financiering'!E9,'Investeringen &amp; financiering'!E8)</f>
        <v>400237.49999999953</v>
      </c>
      <c r="O6" s="215">
        <f>-SUM('Investeringen &amp; financiering'!C8,'Investeringen &amp; financiering'!F8,'Investeringen &amp; financiering'!G8,'Investeringen &amp; financiering'!H8)*SUM(1,-G21)</f>
        <v>3547358.5304473001</v>
      </c>
      <c r="P6" s="109">
        <f>'Inkomsten &amp; uitgaven'!N31</f>
        <v>-1000849.5447243643</v>
      </c>
      <c r="Q6" s="109">
        <f>'Investeringen &amp; financiering'!T8</f>
        <v>-3240090.0572822182</v>
      </c>
      <c r="R6" s="109">
        <f>'Investeringen &amp; financiering'!R56</f>
        <v>-1890108.3122619048</v>
      </c>
      <c r="S6" s="215">
        <f>SUM(S5,-'Investeringen &amp; financiering'!C56,-'Investeringen &amp; financiering'!D56,-'Investeringen &amp; financiering'!N56)</f>
        <v>7110000</v>
      </c>
      <c r="T6" s="24">
        <f>SUM('Investeringen &amp; financiering'!S8,'Investeringen &amp; financiering'!S56,'Inkomsten &amp; uitgaven'!M31)</f>
        <v>-1443012.8941207961</v>
      </c>
      <c r="U6" s="24"/>
      <c r="V6" s="24"/>
      <c r="W6" s="24"/>
      <c r="X6" s="215">
        <f>'Investeringen &amp; financiering'!T56</f>
        <v>292570.70666666661</v>
      </c>
      <c r="Y6" s="25">
        <f>SUM(Y5,P6:R6)</f>
        <v>-48447070.74119319</v>
      </c>
      <c r="Z6" s="120">
        <f>SUM(Z5,Z5*C12)</f>
        <v>25143.382381027728</v>
      </c>
      <c r="AA6" s="121">
        <f t="shared" si="1"/>
        <v>-1587.4980595813408</v>
      </c>
      <c r="AB6" s="172">
        <f>SUM(Y6,$S$4,Balansprognose!$B$13*Macrogegevens!$I$9,Balansprognose!$B$14*Macrogegevens!$I$10)</f>
        <v>-39915070.74119319</v>
      </c>
      <c r="AC6" s="16">
        <f>IF(G2="Handmatig",I6,0%)</f>
        <v>0</v>
      </c>
      <c r="AE6" s="278"/>
      <c r="AF6" s="172"/>
      <c r="AG6" s="172"/>
      <c r="AJ6" s="252"/>
    </row>
    <row r="7" spans="1:36" ht="13.15" x14ac:dyDescent="0.25">
      <c r="A7" s="53">
        <v>4</v>
      </c>
      <c r="B7" s="53" t="s">
        <v>882</v>
      </c>
      <c r="C7" s="60">
        <v>2.1250000000000002E-2</v>
      </c>
      <c r="D7" s="27"/>
      <c r="E7" s="53">
        <v>5</v>
      </c>
      <c r="F7" s="53" t="s">
        <v>746</v>
      </c>
      <c r="G7" s="157">
        <f>IF($G$2="Slechtweer",5%,$AC$7)</f>
        <v>0.05</v>
      </c>
      <c r="H7" s="54"/>
      <c r="I7" s="174">
        <v>0</v>
      </c>
      <c r="J7" s="103">
        <f>SUM(C1,2)</f>
        <v>2019</v>
      </c>
      <c r="K7" s="107">
        <f t="shared" si="0"/>
        <v>0.78376925294864808</v>
      </c>
      <c r="L7" s="31">
        <f>SUM(X7,'Inkomsten &amp; uitgaven'!I32,'Investeringen &amp; financiering'!E11)</f>
        <v>56807651.352925099</v>
      </c>
      <c r="M7" s="31">
        <f>SUM('Inkomsten &amp; uitgaven'!J32,-'Inkomsten &amp; uitgaven'!K32,-'Investeringen &amp; financiering'!E10,-T7)</f>
        <v>57771892.409628719</v>
      </c>
      <c r="N7" s="24">
        <f>SUM('Investeringen &amp; financiering'!E10,'Investeringen &amp; financiering'!E11)</f>
        <v>252225</v>
      </c>
      <c r="O7" s="215">
        <f>-SUM('Investeringen &amp; financiering'!C10,'Investeringen &amp; financiering'!F10,'Investeringen &amp; financiering'!G10,'Investeringen &amp; financiering'!H10)*SUM(1,-G21)</f>
        <v>3588825.9238624158</v>
      </c>
      <c r="P7" s="109">
        <f>'Inkomsten &amp; uitgaven'!N32</f>
        <v>99925.200814004827</v>
      </c>
      <c r="Q7" s="109">
        <f>'Investeringen &amp; financiering'!T10</f>
        <v>-3530592.9124246547</v>
      </c>
      <c r="R7" s="109">
        <f>'Investeringen &amp; financiering'!R58</f>
        <v>-1178352.0098455173</v>
      </c>
      <c r="S7" s="215">
        <f>SUM(S6,-'Investeringen &amp; financiering'!C58,-'Investeringen &amp; financiering'!D58,-'Investeringen &amp; financiering'!N58)</f>
        <v>7110000</v>
      </c>
      <c r="T7" s="24">
        <f>SUM('Investeringen &amp; financiering'!S10,'Investeringen &amp; financiering'!S58,'Inkomsten &amp; uitgaven'!M32)</f>
        <v>-1605818.3066685479</v>
      </c>
      <c r="U7" s="24"/>
      <c r="V7" s="24"/>
      <c r="W7" s="24"/>
      <c r="X7" s="215">
        <f>'Investeringen &amp; financiering'!T58</f>
        <v>286765.4933333334</v>
      </c>
      <c r="Y7" s="25">
        <f t="shared" ref="Y7:Y14" si="2">SUM(Y6,P7:R7)</f>
        <v>-53056090.46264936</v>
      </c>
      <c r="Z7" s="120">
        <f>SUM(Z6,Z6*C12)</f>
        <v>25075.846653203378</v>
      </c>
      <c r="AA7" s="121">
        <f t="shared" si="1"/>
        <v>-1775.5767563270497</v>
      </c>
      <c r="AB7" s="172">
        <f>SUM(Y7,$S$4,Balansprognose!$B$13*Macrogegevens!$I$9,Balansprognose!$B$14*Macrogegevens!$I$10)</f>
        <v>-44524090.46264936</v>
      </c>
      <c r="AC7" s="16">
        <f>IF(G2="Handmatig",I7,0%)</f>
        <v>0</v>
      </c>
      <c r="AE7" s="278"/>
      <c r="AF7" s="172"/>
      <c r="AG7" s="172"/>
    </row>
    <row r="8" spans="1:36" x14ac:dyDescent="0.2">
      <c r="A8" s="53">
        <v>5</v>
      </c>
      <c r="B8" s="53" t="s">
        <v>879</v>
      </c>
      <c r="C8" s="60">
        <v>2.9499999999999998E-2</v>
      </c>
      <c r="D8" s="27"/>
      <c r="E8" s="53">
        <v>6</v>
      </c>
      <c r="F8" s="53" t="s">
        <v>747</v>
      </c>
      <c r="G8" s="157">
        <f>IF($G$2="Slechtweer",10%,$AC$8)</f>
        <v>0.1</v>
      </c>
      <c r="H8" s="54"/>
      <c r="I8" s="174">
        <v>0</v>
      </c>
      <c r="J8" s="103">
        <f>SUM(C1,3)</f>
        <v>2020</v>
      </c>
      <c r="K8" s="107">
        <f t="shared" si="0"/>
        <v>0.82234966230443196</v>
      </c>
      <c r="L8" s="31">
        <f>SUM(X8,'Inkomsten &amp; uitgaven'!I33,'Investeringen &amp; financiering'!E13)</f>
        <v>58575575.178532615</v>
      </c>
      <c r="M8" s="31">
        <f>SUM('Inkomsten &amp; uitgaven'!J33,-'Inkomsten &amp; uitgaven'!K33,-'Investeringen &amp; financiering'!E12,-T8)</f>
        <v>58515358.714986257</v>
      </c>
      <c r="N8" s="24">
        <f>SUM('Investeringen &amp; financiering'!E12,'Investeringen &amp; financiering'!E13)</f>
        <v>252225</v>
      </c>
      <c r="O8" s="215">
        <f>-SUM('Investeringen &amp; financiering'!C12,'Investeringen &amp; financiering'!F12,'Investeringen &amp; financiering'!G12,'Investeringen &amp; financiering'!H12)*SUM(1,-G21)</f>
        <v>3630731.3778274935</v>
      </c>
      <c r="P8" s="109">
        <f>'Inkomsten &amp; uitgaven'!N33</f>
        <v>1272086.9624574038</v>
      </c>
      <c r="Q8" s="109">
        <f>'Investeringen &amp; financiering'!T12</f>
        <v>-3713863.773282656</v>
      </c>
      <c r="R8" s="109">
        <f>'Investeringen &amp; financiering'!R60</f>
        <v>-1203737.1938795499</v>
      </c>
      <c r="S8" s="215">
        <f>SUM(S7,-'Investeringen &amp; financiering'!C60,-'Investeringen &amp; financiering'!D60,-'Investeringen &amp; financiering'!N60)</f>
        <v>7110000</v>
      </c>
      <c r="T8" s="24">
        <f>SUM('Investeringen &amp; financiering'!S12,'Investeringen &amp; financiering'!S60,'Inkomsten &amp; uitgaven'!M33)</f>
        <v>-1722080.9195488079</v>
      </c>
      <c r="U8" s="24"/>
      <c r="V8" s="24"/>
      <c r="W8" s="24"/>
      <c r="X8" s="215">
        <f>'Investeringen &amp; financiering'!T60</f>
        <v>281419.40000000002</v>
      </c>
      <c r="Y8" s="25">
        <f t="shared" si="2"/>
        <v>-56701604.467354164</v>
      </c>
      <c r="Z8" s="120">
        <f>SUM(Z7,Z7*C12)</f>
        <v>25008.492327962962</v>
      </c>
      <c r="AA8" s="121">
        <f t="shared" si="1"/>
        <v>-1926.1298856266465</v>
      </c>
      <c r="AB8" s="172">
        <f>SUM(Y8,$S$4,Balansprognose!$B$13*Macrogegevens!$I$9,Balansprognose!$B$14*Macrogegevens!$I$10)</f>
        <v>-48169604.467354164</v>
      </c>
      <c r="AC8" s="16">
        <f>IF(G2="Handmatig",I8,0%)</f>
        <v>0</v>
      </c>
      <c r="AE8" s="278"/>
      <c r="AF8" s="172"/>
      <c r="AG8" s="172"/>
    </row>
    <row r="9" spans="1:36" ht="13.15" x14ac:dyDescent="0.25">
      <c r="A9" s="53">
        <v>6</v>
      </c>
      <c r="B9" s="53" t="s">
        <v>755</v>
      </c>
      <c r="C9" s="94">
        <f>VLOOKUP($C$2,'Data macrogegevens'!$C$1:$H$402,6,0)</f>
        <v>25279</v>
      </c>
      <c r="D9" s="20"/>
      <c r="E9" s="53">
        <v>7</v>
      </c>
      <c r="F9" s="53" t="s">
        <v>748</v>
      </c>
      <c r="G9" s="157">
        <f>IF($G$2="Slechtweer",10%,$AC$9)</f>
        <v>0.1</v>
      </c>
      <c r="H9" s="55"/>
      <c r="I9" s="174">
        <v>0.08</v>
      </c>
      <c r="J9" s="103">
        <f>SUM(C1,4)</f>
        <v>2021</v>
      </c>
      <c r="K9" s="107">
        <f t="shared" si="0"/>
        <v>0.84291896405228617</v>
      </c>
      <c r="L9" s="31">
        <f>SUM(X9,'Inkomsten &amp; uitgaven'!I34,'Investeringen &amp; financiering'!E15)</f>
        <v>60350745.572776191</v>
      </c>
      <c r="M9" s="31">
        <f>SUM('Inkomsten &amp; uitgaven'!J34,-'Inkomsten &amp; uitgaven'!K34,-'Investeringen &amp; financiering'!E14,-T9)</f>
        <v>59284602.878268853</v>
      </c>
      <c r="N9" s="24">
        <f>SUM('Investeringen &amp; financiering'!E14,'Investeringen &amp; financiering'!E15)</f>
        <v>201041.66666666651</v>
      </c>
      <c r="O9" s="215">
        <f>-SUM('Investeringen &amp; financiering'!C14,'Investeringen &amp; financiering'!F14,'Investeringen &amp; financiering'!G14,'Investeringen &amp; financiering'!H14)*SUM(1,-G21)</f>
        <v>3673079.5200036806</v>
      </c>
      <c r="P9" s="109">
        <f>'Inkomsten &amp; uitgaven'!N34</f>
        <v>2529847.9201954589</v>
      </c>
      <c r="Q9" s="109">
        <f>'Investeringen &amp; financiering'!T14</f>
        <v>-3975567.8083971664</v>
      </c>
      <c r="R9" s="109">
        <f>'Investeringen &amp; financiering'!R62</f>
        <v>-1255463.5824317308</v>
      </c>
      <c r="S9" s="215">
        <f>SUM(S8,-'Investeringen &amp; financiering'!C62,-'Investeringen &amp; financiering'!D62,-'Investeringen &amp; financiering'!N62)</f>
        <v>7110000</v>
      </c>
      <c r="T9" s="24">
        <f>SUM('Investeringen &amp; financiering'!S14,'Investeringen &amp; financiering'!S62,'Inkomsten &amp; uitgaven'!M34)</f>
        <v>-1847811.1561118895</v>
      </c>
      <c r="U9" s="24"/>
      <c r="V9" s="24"/>
      <c r="W9" s="24"/>
      <c r="X9" s="215">
        <f>'Investeringen &amp; financiering'!T62</f>
        <v>280132.18666666665</v>
      </c>
      <c r="Y9" s="25">
        <f t="shared" si="2"/>
        <v>-59402787.937987603</v>
      </c>
      <c r="Z9" s="120">
        <f>SUM(Z8,Z8*C12)</f>
        <v>24941.318918054789</v>
      </c>
      <c r="AA9" s="121">
        <f t="shared" si="1"/>
        <v>-2039.6189995053835</v>
      </c>
      <c r="AB9" s="172">
        <f>SUM(Y9,$S$4,Balansprognose!$B$13*Macrogegevens!$I$9,Balansprognose!$B$14*Macrogegevens!$I$10)</f>
        <v>-50870787.937987603</v>
      </c>
      <c r="AC9" s="16">
        <f>IF(G2="Handmatig",I9,0%)</f>
        <v>0</v>
      </c>
      <c r="AE9" s="278"/>
      <c r="AF9" s="172"/>
      <c r="AG9" s="172"/>
    </row>
    <row r="10" spans="1:36" ht="13.15" x14ac:dyDescent="0.25">
      <c r="A10" s="53">
        <v>7</v>
      </c>
      <c r="B10" s="53" t="s">
        <v>78</v>
      </c>
      <c r="C10" s="93" t="str">
        <f>VLOOKUP($C$2,'Data macrogegevens'!$C$1:$E$402,3,0)</f>
        <v>Midden</v>
      </c>
      <c r="D10" s="20"/>
      <c r="E10" s="53">
        <v>8</v>
      </c>
      <c r="F10" s="53" t="s">
        <v>749</v>
      </c>
      <c r="G10" s="157">
        <f>IF($G$2="Slechtweer",10%,$AC$10)</f>
        <v>0.1</v>
      </c>
      <c r="H10" s="55"/>
      <c r="I10" s="174">
        <v>0.08</v>
      </c>
      <c r="J10" s="103">
        <f>SUM(C1,5)</f>
        <v>2022</v>
      </c>
      <c r="K10" s="107">
        <f t="shared" si="0"/>
        <v>0.84652068887263432</v>
      </c>
      <c r="L10" s="31">
        <f>SUM(X10,'Inkomsten &amp; uitgaven'!I35,'Investeringen &amp; financiering'!E17)</f>
        <v>62130233.319684044</v>
      </c>
      <c r="M10" s="31">
        <f>SUM('Inkomsten &amp; uitgaven'!J35,-'Inkomsten &amp; uitgaven'!K35,-'Investeringen &amp; financiering'!E16,-T10)</f>
        <v>60024400.733797155</v>
      </c>
      <c r="N10" s="24">
        <f>SUM('Investeringen &amp; financiering'!E16,'Investeringen &amp; financiering'!E17)</f>
        <v>100520.83333333349</v>
      </c>
      <c r="O10" s="215">
        <f>-SUM('Investeringen &amp; financiering'!C16,'Investeringen &amp; financiering'!F16,'Investeringen &amp; financiering'!G16,'Investeringen &amp; financiering'!H16)*SUM(1,-G21)</f>
        <v>3715875.0269386279</v>
      </c>
      <c r="P10" s="109">
        <f>'Inkomsten &amp; uitgaven'!N35</f>
        <v>3877105.8181594908</v>
      </c>
      <c r="Q10" s="109">
        <f>'Investeringen &amp; financiering'!T16</f>
        <v>-4298584.6152244825</v>
      </c>
      <c r="R10" s="109">
        <f>'Investeringen &amp; financiering'!R64</f>
        <v>-1302261.174543845</v>
      </c>
      <c r="S10" s="215">
        <f>SUM(S9,-'Investeringen &amp; financiering'!C64,-'Investeringen &amp; financiering'!D64,-'Investeringen &amp; financiering'!N64)</f>
        <v>7110000</v>
      </c>
      <c r="T10" s="24">
        <f>SUM('Investeringen &amp; financiering'!S16,'Investeringen &amp; financiering'!S64,'Inkomsten &amp; uitgaven'!M35)</f>
        <v>-1927173.1838837413</v>
      </c>
      <c r="U10" s="24"/>
      <c r="V10" s="24"/>
      <c r="W10" s="24"/>
      <c r="X10" s="215">
        <f>'Investeringen &amp; financiering'!T64</f>
        <v>276533.66666666669</v>
      </c>
      <c r="Y10" s="25">
        <f t="shared" si="2"/>
        <v>-61126527.909596436</v>
      </c>
      <c r="Z10" s="120">
        <f>SUM(Z9,Z9*C12)</f>
        <v>24874.325937535941</v>
      </c>
      <c r="AA10" s="121">
        <f t="shared" si="1"/>
        <v>-2114.4101770504685</v>
      </c>
      <c r="AB10" s="172">
        <f>SUM(Y10,$S$4,Balansprognose!$B$13*Macrogegevens!$I$9,Balansprognose!$B$14*Macrogegevens!$I$10)</f>
        <v>-52594527.909596436</v>
      </c>
      <c r="AC10" s="16">
        <f>IF(G2="Handmatig",I10,0%)</f>
        <v>0</v>
      </c>
      <c r="AE10" s="278"/>
      <c r="AF10" s="172"/>
      <c r="AG10" s="172"/>
    </row>
    <row r="11" spans="1:36" ht="13.15" x14ac:dyDescent="0.25">
      <c r="A11" s="53">
        <v>8</v>
      </c>
      <c r="B11" s="53" t="s">
        <v>812</v>
      </c>
      <c r="C11" s="60">
        <v>3.3639999999999998E-3</v>
      </c>
      <c r="D11" s="20"/>
      <c r="E11" s="53">
        <v>9</v>
      </c>
      <c r="F11" s="53" t="s">
        <v>577</v>
      </c>
      <c r="G11" s="255"/>
      <c r="H11" s="55"/>
      <c r="I11" s="167"/>
      <c r="J11" s="103">
        <f>SUM(C1,6)</f>
        <v>2023</v>
      </c>
      <c r="K11" s="173">
        <f t="shared" si="0"/>
        <v>0.84750421287833777</v>
      </c>
      <c r="L11" s="31">
        <f>SUM(X11,'Inkomsten &amp; uitgaven'!I36,'Investeringen &amp; financiering'!E19)</f>
        <v>63464713.997577854</v>
      </c>
      <c r="M11" s="31">
        <f>SUM('Inkomsten &amp; uitgaven'!J36,-'Inkomsten &amp; uitgaven'!K36,-'Investeringen &amp; financiering'!E18,-T11)</f>
        <v>60764322.050800137</v>
      </c>
      <c r="N11" s="24">
        <f>SUM('Investeringen &amp; financiering'!E18,'Investeringen &amp; financiering'!E19)</f>
        <v>0</v>
      </c>
      <c r="O11" s="215">
        <f>-SUM('Investeringen &amp; financiering'!C18,'Investeringen &amp; financiering'!F18,'Investeringen &amp; financiering'!G18,'Investeringen &amp; financiering'!H18)*SUM(1,-G21)</f>
        <v>3759122.6245829221</v>
      </c>
      <c r="P11" s="109">
        <f>'Inkomsten &amp; uitgaven'!N36</f>
        <v>4785598.1541157588</v>
      </c>
      <c r="Q11" s="109">
        <f>'Investeringen &amp; financiering'!T18</f>
        <v>-4635031.1423137002</v>
      </c>
      <c r="R11" s="109">
        <f>'Investeringen &amp; financiering'!R66</f>
        <v>-1342651.5842716598</v>
      </c>
      <c r="S11" s="215">
        <f>SUM(S10,-'Investeringen &amp; financiering'!C66,-'Investeringen &amp; financiering'!D66,-'Investeringen &amp; financiering'!N66)</f>
        <v>7110000</v>
      </c>
      <c r="T11" s="24">
        <f>SUM('Investeringen &amp; financiering'!S18,'Investeringen &amp; financiering'!S66,'Inkomsten &amp; uitgaven'!M36)</f>
        <v>-1966336.9154541087</v>
      </c>
      <c r="U11" s="24"/>
      <c r="V11" s="24"/>
      <c r="W11" s="24"/>
      <c r="X11" s="215">
        <f>'Investeringen &amp; financiering'!T66</f>
        <v>270060.10666666669</v>
      </c>
      <c r="Y11" s="25">
        <f t="shared" si="2"/>
        <v>-62318612.482066043</v>
      </c>
      <c r="Z11" s="120">
        <f>SUM(Z10,Z10*C12)</f>
        <v>24807.512901768754</v>
      </c>
      <c r="AA11" s="121">
        <f t="shared" si="1"/>
        <v>-2168.1581984879713</v>
      </c>
      <c r="AB11" s="172">
        <f>SUM(Y11,$S$4,Balansprognose!$B$13*Macrogegevens!$I$9,Balansprognose!$B$14*Macrogegevens!$I$10)</f>
        <v>-53786612.482066043</v>
      </c>
      <c r="AE11" s="278"/>
      <c r="AF11" s="172"/>
      <c r="AG11" s="172"/>
    </row>
    <row r="12" spans="1:36" ht="13.15" x14ac:dyDescent="0.25">
      <c r="A12" s="53">
        <v>9</v>
      </c>
      <c r="B12" s="53" t="s">
        <v>872</v>
      </c>
      <c r="C12" s="60">
        <f>VLOOKUP($C$2,'Data macrogegevens'!$C$1:$D$402,2,0)</f>
        <v>-2.6860239724672656E-3</v>
      </c>
      <c r="D12" s="20"/>
      <c r="E12" s="53">
        <v>10</v>
      </c>
      <c r="F12" s="53" t="s">
        <v>750</v>
      </c>
      <c r="G12" s="57">
        <f>IF($G$2="Slechtweer",1%,$AC$12)</f>
        <v>0.01</v>
      </c>
      <c r="H12" s="55"/>
      <c r="I12" s="56">
        <v>5.0000000000000001E-3</v>
      </c>
      <c r="J12" s="103">
        <f>SUM(C1,7)</f>
        <v>2024</v>
      </c>
      <c r="K12" s="107">
        <f t="shared" si="0"/>
        <v>0.83622310857056026</v>
      </c>
      <c r="L12" s="31">
        <f>SUM(X12,'Inkomsten &amp; uitgaven'!I37,'Investeringen &amp; financiering'!E21)</f>
        <v>64935069.06906487</v>
      </c>
      <c r="M12" s="31">
        <f>SUM('Inkomsten &amp; uitgaven'!J37,-'Inkomsten &amp; uitgaven'!K37,-'Investeringen &amp; financiering'!E20,-T12)</f>
        <v>61492616.902233407</v>
      </c>
      <c r="N12" s="24">
        <f>SUM('Investeringen &amp; financiering'!E20,'Investeringen &amp; financiering'!E21)</f>
        <v>0</v>
      </c>
      <c r="O12" s="215">
        <f>-SUM('Investeringen &amp; financiering'!C20,'Investeringen &amp; financiering'!F20,'Investeringen &amp; financiering'!G20,'Investeringen &amp; financiering'!H20)*SUM(1,-G21)</f>
        <v>3802827.0888119796</v>
      </c>
      <c r="P12" s="109">
        <f>'Inkomsten &amp; uitgaven'!N37</f>
        <v>5756349.4226374496</v>
      </c>
      <c r="Q12" s="109">
        <f>'Investeringen &amp; financiering'!T20</f>
        <v>-4882938.8275651485</v>
      </c>
      <c r="R12" s="109">
        <f>'Investeringen &amp; financiering'!R68</f>
        <v>-1387003.4251837241</v>
      </c>
      <c r="S12" s="215">
        <f>SUM(S11,-'Investeringen &amp; financiering'!C68,-'Investeringen &amp; financiering'!D68,-'Investeringen &amp; financiering'!N68)</f>
        <v>7110000</v>
      </c>
      <c r="T12" s="24">
        <f>SUM('Investeringen &amp; financiering'!S20,'Investeringen &amp; financiering'!S68,'Inkomsten &amp; uitgaven'!M37)</f>
        <v>-1984721.5582237176</v>
      </c>
      <c r="U12" s="24"/>
      <c r="V12" s="24"/>
      <c r="W12" s="24"/>
      <c r="X12" s="215">
        <f>'Investeringen &amp; financiering'!T68</f>
        <v>263924.78666666668</v>
      </c>
      <c r="Y12" s="25">
        <f t="shared" si="2"/>
        <v>-62832205.312177464</v>
      </c>
      <c r="Z12" s="120">
        <f>SUM(Z11,Z11*C12)</f>
        <v>24740.879327417311</v>
      </c>
      <c r="AA12" s="121">
        <f t="shared" si="1"/>
        <v>-2194.7564835338389</v>
      </c>
      <c r="AB12" s="172">
        <f>SUM(Y12,$S$4,Balansprognose!$B$13*Macrogegevens!$I$9,Balansprognose!$B$14*Macrogegevens!$I$10)</f>
        <v>-54300205.312177464</v>
      </c>
      <c r="AC12" s="16">
        <f>IF(G2="Handmatig",I12,0%)</f>
        <v>0</v>
      </c>
      <c r="AE12" s="278"/>
      <c r="AF12" s="172"/>
      <c r="AG12" s="172"/>
    </row>
    <row r="13" spans="1:36" ht="13.15" x14ac:dyDescent="0.25">
      <c r="A13" s="53">
        <v>10</v>
      </c>
      <c r="B13" s="53" t="s">
        <v>146</v>
      </c>
      <c r="C13" s="60">
        <f>VLOOKUP($C$2,'Data macrogegevens'!$C$1:$F$402,4,0)</f>
        <v>1.9405700424499697E-2</v>
      </c>
      <c r="D13" s="20"/>
      <c r="E13" s="53">
        <v>11</v>
      </c>
      <c r="F13" s="53" t="s">
        <v>751</v>
      </c>
      <c r="G13" s="57">
        <f>IF($G$2="Slechtweer",2%,$AC$13)</f>
        <v>0.02</v>
      </c>
      <c r="H13" s="55"/>
      <c r="I13" s="56">
        <v>0.01</v>
      </c>
      <c r="J13" s="103">
        <f>SUM(C1,8)</f>
        <v>2025</v>
      </c>
      <c r="K13" s="107">
        <f t="shared" si="0"/>
        <v>0.8141095365895773</v>
      </c>
      <c r="L13" s="31">
        <f>SUM(X13,'Inkomsten &amp; uitgaven'!I38,'Investeringen &amp; financiering'!E23)</f>
        <v>66444334.18887037</v>
      </c>
      <c r="M13" s="31">
        <f>SUM('Inkomsten &amp; uitgaven'!J38,-'Inkomsten &amp; uitgaven'!K38,-'Investeringen &amp; financiering'!E22,-T13)</f>
        <v>62216809.981684245</v>
      </c>
      <c r="N13" s="24">
        <f>SUM('Investeringen &amp; financiering'!E22,'Investeringen &amp; financiering'!E23)</f>
        <v>0</v>
      </c>
      <c r="O13" s="215">
        <f>-SUM('Investeringen &amp; financiering'!C22,'Investeringen &amp; financiering'!F22,'Investeringen &amp; financiering'!G22,'Investeringen &amp; financiering'!H22)*SUM(1,-G21)</f>
        <v>3846993.2459534477</v>
      </c>
      <c r="P13" s="109">
        <f>'Inkomsten &amp; uitgaven'!N38</f>
        <v>6792556.2227198975</v>
      </c>
      <c r="Q13" s="109">
        <f>'Investeringen &amp; financiering'!T22</f>
        <v>-5141323.6650920305</v>
      </c>
      <c r="R13" s="109">
        <f>'Investeringen &amp; financiering'!R70</f>
        <v>-1443993.3609546714</v>
      </c>
      <c r="S13" s="215">
        <f>SUM(S12,-'Investeringen &amp; financiering'!C70,-'Investeringen &amp; financiering'!D70,-'Investeringen &amp; financiering'!N70)</f>
        <v>7110000</v>
      </c>
      <c r="T13" s="24">
        <f>SUM('Investeringen &amp; financiering'!S22,'Investeringen &amp; financiering'!S70,'Inkomsten &amp; uitgaven'!M38)</f>
        <v>-1989724.32785019</v>
      </c>
      <c r="U13" s="24"/>
      <c r="V13" s="24"/>
      <c r="W13" s="24"/>
      <c r="X13" s="215">
        <f>'Investeringen &amp; financiering'!T70</f>
        <v>260833.62666666668</v>
      </c>
      <c r="Y13" s="25">
        <f t="shared" si="2"/>
        <v>-62624966.115504265</v>
      </c>
      <c r="Z13" s="120">
        <f>SUM(Z12,Z12*C12)</f>
        <v>24674.424732443949</v>
      </c>
      <c r="AA13" s="121">
        <f t="shared" si="1"/>
        <v>-2192.2685818234463</v>
      </c>
      <c r="AB13" s="172">
        <f>SUM(Y13,$S$4,Balansprognose!$B$13*Macrogegevens!$I$9,Balansprognose!$B$14*Macrogegevens!$I$10)</f>
        <v>-54092966.115504265</v>
      </c>
      <c r="AC13" s="16">
        <f>IF(G2="Handmatig",I13,0%)</f>
        <v>0</v>
      </c>
      <c r="AE13" s="278"/>
      <c r="AF13" s="172"/>
      <c r="AG13" s="172"/>
    </row>
    <row r="14" spans="1:36" ht="13.15" x14ac:dyDescent="0.25">
      <c r="A14" s="53">
        <v>11</v>
      </c>
      <c r="B14" s="53" t="s">
        <v>780</v>
      </c>
      <c r="C14" s="193">
        <v>0</v>
      </c>
      <c r="D14" s="20"/>
      <c r="E14" s="53">
        <v>12</v>
      </c>
      <c r="F14" s="53" t="s">
        <v>752</v>
      </c>
      <c r="G14" s="57">
        <f>IF($G$2="Slechtweer",3%,$AC$14)</f>
        <v>0.03</v>
      </c>
      <c r="H14" s="55"/>
      <c r="I14" s="56">
        <v>1.4999999999999999E-2</v>
      </c>
      <c r="J14" s="103">
        <f>SUM(C1,9)</f>
        <v>2026</v>
      </c>
      <c r="K14" s="107">
        <f t="shared" si="0"/>
        <v>0.78128082479104133</v>
      </c>
      <c r="L14" s="31">
        <f>SUM(X14,'Inkomsten &amp; uitgaven'!I39,'Investeringen &amp; financiering'!E25)</f>
        <v>67994282.559800178</v>
      </c>
      <c r="M14" s="31">
        <f>SUM('Inkomsten &amp; uitgaven'!J39,-'Inkomsten &amp; uitgaven'!K39,-'Investeringen &amp; financiering'!E24,-T14)</f>
        <v>62938741.94964537</v>
      </c>
      <c r="N14" s="24">
        <f>SUM('Investeringen &amp; financiering'!E24,'Investeringen &amp; financiering'!E25)</f>
        <v>0</v>
      </c>
      <c r="O14" s="215">
        <f>-SUM('Investeringen &amp; financiering'!C24,'Investeringen &amp; financiering'!F24,'Investeringen &amp; financiering'!G24,'Investeringen &amp; financiering'!H24)*SUM(1,-G21)</f>
        <v>3891625.973320188</v>
      </c>
      <c r="P14" s="109">
        <f>'Inkomsten &amp; uitgaven'!N39</f>
        <v>7897560.4942843542</v>
      </c>
      <c r="Q14" s="109">
        <f>'Investeringen &amp; financiering'!T24</f>
        <v>-5410606.736606366</v>
      </c>
      <c r="R14" s="109">
        <f>'Investeringen &amp; financiering'!R72</f>
        <v>-1516616.801569524</v>
      </c>
      <c r="S14" s="215">
        <f>SUM(S13,-'Investeringen &amp; financiering'!C72,-'Investeringen &amp; financiering'!D72,-'Investeringen &amp; financiering'!N72)</f>
        <v>7110000</v>
      </c>
      <c r="T14" s="24">
        <f>SUM('Investeringen &amp; financiering'!S24,'Investeringen &amp; financiering'!S72,'Inkomsten &amp; uitgaven'!M39)</f>
        <v>-1983056.4513082651</v>
      </c>
      <c r="U14" s="24"/>
      <c r="V14" s="24"/>
      <c r="W14" s="24"/>
      <c r="X14" s="215">
        <f>'Investeringen &amp; financiering'!T72</f>
        <v>261688.60000000003</v>
      </c>
      <c r="Y14" s="25">
        <f t="shared" si="2"/>
        <v>-61654629.159395799</v>
      </c>
      <c r="Z14" s="120">
        <f>SUM(Z13,Z13*C12)</f>
        <v>24608.148636105765</v>
      </c>
      <c r="AA14" s="121">
        <f t="shared" si="1"/>
        <v>-2158.7413968010901</v>
      </c>
      <c r="AB14" s="172">
        <f>SUM(Y14,$S$4,Balansprognose!$B$13*Macrogegevens!$I$9,Balansprognose!$B$14*Macrogegevens!$I$10)</f>
        <v>-53122629.159395799</v>
      </c>
      <c r="AC14" s="16">
        <f>IF(G2="Handmatig",I14,0%)</f>
        <v>0</v>
      </c>
      <c r="AE14" s="278"/>
      <c r="AF14" s="172"/>
      <c r="AG14" s="172"/>
    </row>
    <row r="15" spans="1:36" ht="13.15" x14ac:dyDescent="0.25">
      <c r="A15" s="53">
        <v>12</v>
      </c>
      <c r="B15" s="53" t="s">
        <v>129</v>
      </c>
      <c r="C15" s="193">
        <v>7.0000000000000001E-3</v>
      </c>
      <c r="D15" s="27"/>
      <c r="E15" s="53">
        <v>13</v>
      </c>
      <c r="F15" s="53" t="s">
        <v>549</v>
      </c>
      <c r="G15" s="255">
        <f>Y50</f>
        <v>2163575.6618180159</v>
      </c>
      <c r="H15" s="55"/>
      <c r="I15" s="57"/>
      <c r="J15" s="3"/>
      <c r="K15" s="3"/>
      <c r="M15" s="3"/>
      <c r="N15" s="3"/>
      <c r="O15" s="3"/>
      <c r="X15" s="30"/>
      <c r="AA15" s="3"/>
    </row>
    <row r="16" spans="1:36" ht="13.15" x14ac:dyDescent="0.25">
      <c r="A16" s="53">
        <v>13</v>
      </c>
      <c r="B16" s="53" t="s">
        <v>609</v>
      </c>
      <c r="C16" s="60">
        <v>9.4999999999999998E-3</v>
      </c>
      <c r="D16" s="20"/>
      <c r="E16" s="53">
        <v>14</v>
      </c>
      <c r="F16" s="53" t="s">
        <v>55</v>
      </c>
      <c r="G16" s="58">
        <f>SUM('Inkomsten &amp; uitgaven'!G67,-'Inkomsten &amp; uitgaven'!C9,-'Inkomsten &amp; uitgaven'!C10,-'Inkomsten &amp; uitgaven'!C35,-'Inkomsten &amp; uitgaven'!C43,-'Inkomsten &amp; uitgaven'!C44,-'Inkomsten &amp; uitgaven'!C45,-'Inkomsten &amp; uitgaven'!C46,-'Inkomsten &amp; uitgaven'!C53,-'Inkomsten &amp; uitgaven'!C54)</f>
        <v>41389731.490096748</v>
      </c>
      <c r="H16" s="55"/>
      <c r="I16" s="57"/>
      <c r="J16" s="1"/>
    </row>
    <row r="17" spans="1:29" ht="13.15" x14ac:dyDescent="0.25">
      <c r="A17" s="53">
        <v>14</v>
      </c>
      <c r="B17" s="16" t="s">
        <v>781</v>
      </c>
      <c r="C17" s="60">
        <v>1.4500000000000001E-2</v>
      </c>
      <c r="E17" s="53">
        <v>15</v>
      </c>
      <c r="F17" s="53" t="s">
        <v>753</v>
      </c>
      <c r="G17" s="111">
        <v>1.0999999999999999E-2</v>
      </c>
      <c r="H17" s="230">
        <f>G17*SUM(G15,G16)</f>
        <v>479086.37867106235</v>
      </c>
      <c r="I17" s="167"/>
      <c r="J17" s="1"/>
      <c r="K17" s="2"/>
      <c r="L17" s="1"/>
      <c r="Y17" s="2"/>
      <c r="Z17" s="44"/>
      <c r="AA17" s="2"/>
      <c r="AB17" s="52"/>
    </row>
    <row r="18" spans="1:29" x14ac:dyDescent="0.2">
      <c r="A18" s="16">
        <v>15</v>
      </c>
      <c r="B18" s="16" t="s">
        <v>722</v>
      </c>
      <c r="C18" s="245">
        <f>VLOOKUP(Macrogegevens!C2,'Data OZB belastingen'!C2:F390,2,0)/100</f>
        <v>1.2180000000000001E-3</v>
      </c>
      <c r="E18" s="53">
        <v>16</v>
      </c>
      <c r="F18" s="53" t="s">
        <v>616</v>
      </c>
      <c r="G18" s="110">
        <v>1</v>
      </c>
      <c r="H18" s="230">
        <f>H17*G18*5</f>
        <v>2395431.8933553118</v>
      </c>
      <c r="I18" s="167"/>
      <c r="K18" s="7"/>
      <c r="L18" s="5"/>
      <c r="Y18" s="24"/>
      <c r="Z18" s="32"/>
      <c r="AA18" s="24"/>
      <c r="AB18" s="18"/>
    </row>
    <row r="19" spans="1:29" ht="13.15" x14ac:dyDescent="0.25">
      <c r="A19" s="16">
        <v>16</v>
      </c>
      <c r="B19" s="16" t="s">
        <v>782</v>
      </c>
      <c r="C19" s="245">
        <f>VLOOKUP(Macrogegevens!C2,'Data OZB belastingen'!C2:F390,3,0)/100</f>
        <v>1.8729999999999999E-3</v>
      </c>
      <c r="E19" s="53">
        <v>17</v>
      </c>
      <c r="F19" s="53" t="s">
        <v>754</v>
      </c>
      <c r="G19" s="170">
        <f>IF($G$2="Slechtweer",I19,$AC$19)</f>
        <v>0</v>
      </c>
      <c r="H19" s="175"/>
      <c r="I19" s="205">
        <v>0</v>
      </c>
      <c r="K19" s="7"/>
      <c r="L19" s="4"/>
      <c r="Y19" s="24"/>
      <c r="Z19" s="32"/>
      <c r="AA19" s="24"/>
      <c r="AB19" s="18"/>
      <c r="AC19" s="171">
        <f>IF(G2="Handmatig",I19,0%)</f>
        <v>0</v>
      </c>
    </row>
    <row r="20" spans="1:29" ht="13.15" x14ac:dyDescent="0.25">
      <c r="A20" s="16">
        <v>17</v>
      </c>
      <c r="B20" s="16" t="s">
        <v>783</v>
      </c>
      <c r="C20" s="245">
        <f>VLOOKUP(Macrogegevens!C2,'Data OZB belastingen'!C2:F390,4,0)/100</f>
        <v>1.0709999999999999E-3</v>
      </c>
      <c r="E20" s="53"/>
      <c r="F20" s="53"/>
      <c r="G20" s="176"/>
      <c r="H20" s="155"/>
      <c r="I20" s="155"/>
      <c r="K20" s="7"/>
      <c r="L20" s="4"/>
      <c r="Y20" s="24"/>
      <c r="Z20" s="32"/>
      <c r="AA20" s="24"/>
      <c r="AB20" s="18"/>
    </row>
    <row r="21" spans="1:29" ht="13.15" x14ac:dyDescent="0.25">
      <c r="E21" s="53"/>
      <c r="F21" s="53"/>
      <c r="G21" s="177"/>
      <c r="H21" s="155"/>
      <c r="I21" s="178"/>
      <c r="K21" s="7"/>
      <c r="L21" s="4"/>
      <c r="Y21" s="24"/>
      <c r="Z21" s="32"/>
      <c r="AA21" s="24"/>
      <c r="AB21" s="18"/>
      <c r="AC21" s="171"/>
    </row>
    <row r="22" spans="1:29" x14ac:dyDescent="0.2">
      <c r="A22" s="26" t="s">
        <v>79</v>
      </c>
      <c r="B22" s="16" t="s">
        <v>880</v>
      </c>
      <c r="E22" s="53"/>
      <c r="F22" s="53"/>
      <c r="G22" s="156"/>
      <c r="H22" s="155"/>
      <c r="K22" s="7"/>
      <c r="L22" s="4"/>
      <c r="M22" s="131" t="s">
        <v>23</v>
      </c>
      <c r="N22" s="132"/>
      <c r="O22" s="132"/>
      <c r="P22" s="125"/>
      <c r="Q22" s="125"/>
      <c r="R22" s="125"/>
      <c r="S22" s="133"/>
      <c r="T22" s="134">
        <f>SUM($C$1,-1)</f>
        <v>2016</v>
      </c>
      <c r="U22" s="279"/>
      <c r="V22" s="279"/>
      <c r="W22" s="279"/>
      <c r="X22" s="135">
        <f>$C$1</f>
        <v>2017</v>
      </c>
      <c r="Y22" s="24"/>
      <c r="Z22" s="32"/>
      <c r="AA22" s="24"/>
      <c r="AB22" s="18"/>
    </row>
    <row r="23" spans="1:29" ht="13.15" x14ac:dyDescent="0.25">
      <c r="E23" s="53"/>
      <c r="K23" s="7"/>
      <c r="L23" s="4"/>
      <c r="M23" s="216" t="s">
        <v>651</v>
      </c>
      <c r="N23" s="125"/>
      <c r="O23" s="125"/>
      <c r="P23" s="125"/>
      <c r="Q23" s="125"/>
      <c r="R23" s="125"/>
      <c r="S23" s="125"/>
      <c r="T23" s="192"/>
      <c r="U23" s="192"/>
      <c r="V23" s="192"/>
      <c r="W23" s="192"/>
      <c r="X23" s="192"/>
      <c r="Y23" s="24"/>
      <c r="Z23" s="32"/>
      <c r="AA23" s="24"/>
      <c r="AB23" s="18"/>
    </row>
    <row r="24" spans="1:29" ht="13.15" x14ac:dyDescent="0.25">
      <c r="E24" s="53"/>
      <c r="K24" s="7"/>
      <c r="L24" s="4"/>
      <c r="M24" s="122" t="s">
        <v>611</v>
      </c>
      <c r="N24" s="125"/>
      <c r="O24" s="125"/>
      <c r="P24" s="125"/>
      <c r="Q24" s="125"/>
      <c r="R24" s="125"/>
      <c r="S24" s="125"/>
      <c r="T24" s="285">
        <f>Balansprognose!$F$40</f>
        <v>0.80001626545217952</v>
      </c>
      <c r="U24" s="192"/>
      <c r="V24" s="192"/>
      <c r="W24" s="192"/>
      <c r="X24" s="285">
        <f>Balansprognose!$G$40</f>
        <v>0.80001626545217952</v>
      </c>
      <c r="Y24" s="24"/>
      <c r="Z24" s="32"/>
      <c r="AA24" s="24"/>
      <c r="AB24" s="18"/>
    </row>
    <row r="25" spans="1:29" ht="13.15" x14ac:dyDescent="0.25">
      <c r="K25" s="7"/>
      <c r="L25" s="112"/>
      <c r="M25" s="122" t="s">
        <v>640</v>
      </c>
      <c r="N25" s="123"/>
      <c r="O25" s="124"/>
      <c r="P25" s="125"/>
      <c r="Q25" s="125"/>
      <c r="R25" s="125"/>
      <c r="S25" s="125"/>
      <c r="T25" s="192"/>
      <c r="U25" s="192"/>
      <c r="V25" s="192"/>
      <c r="W25" s="192"/>
      <c r="X25" s="126">
        <f>SUM($L$5,-'Inkomsten &amp; uitgaven'!$G$67,'Inkomsten &amp; uitgaven'!$G$85,'Inkomsten &amp; uitgaven'!$G$86)/Balansprognose!$G$13</f>
        <v>0.2027469291070832</v>
      </c>
      <c r="Y25" s="24"/>
      <c r="Z25" s="32"/>
      <c r="AA25" s="24"/>
      <c r="AB25" s="18"/>
    </row>
    <row r="26" spans="1:29" ht="13.15" x14ac:dyDescent="0.25">
      <c r="K26" s="7"/>
      <c r="L26" s="4"/>
      <c r="M26" s="216" t="s">
        <v>652</v>
      </c>
      <c r="N26" s="123"/>
      <c r="O26" s="124"/>
      <c r="P26" s="125"/>
      <c r="Q26" s="125"/>
      <c r="R26" s="125"/>
      <c r="S26" s="125"/>
      <c r="T26" s="126"/>
      <c r="U26" s="126"/>
      <c r="V26" s="126"/>
      <c r="W26" s="126"/>
      <c r="X26" s="126"/>
      <c r="Y26" s="24"/>
      <c r="Z26" s="32"/>
      <c r="AA26" s="24"/>
      <c r="AB26" s="18"/>
    </row>
    <row r="27" spans="1:29" ht="13.15" x14ac:dyDescent="0.25">
      <c r="B27" s="18"/>
      <c r="F27" s="5"/>
      <c r="G27" s="5"/>
      <c r="H27" s="5"/>
      <c r="K27" s="7"/>
      <c r="L27" s="4"/>
      <c r="M27" s="122" t="s">
        <v>779</v>
      </c>
      <c r="N27" s="123"/>
      <c r="O27" s="123"/>
      <c r="P27" s="125"/>
      <c r="Q27" s="125"/>
      <c r="R27" s="125"/>
      <c r="S27" s="125"/>
      <c r="T27" s="126">
        <f>Balansprognose!$F$38</f>
        <v>0.33705011389521639</v>
      </c>
      <c r="U27" s="127"/>
      <c r="V27" s="127"/>
      <c r="W27" s="127"/>
      <c r="X27" s="127">
        <f>Balansprognose!$G$38</f>
        <v>0.31565881651986943</v>
      </c>
      <c r="Y27" s="24"/>
      <c r="Z27" s="32"/>
      <c r="AA27" s="24"/>
      <c r="AB27" s="18"/>
    </row>
    <row r="28" spans="1:29" ht="13.15" x14ac:dyDescent="0.25">
      <c r="B28" s="18"/>
      <c r="F28" s="5"/>
      <c r="G28" s="5"/>
      <c r="H28" s="5"/>
      <c r="K28" s="7"/>
      <c r="L28" s="4"/>
      <c r="M28" s="122" t="s">
        <v>638</v>
      </c>
      <c r="N28" s="123"/>
      <c r="O28" s="123"/>
      <c r="P28" s="125"/>
      <c r="Q28" s="125"/>
      <c r="R28" s="125"/>
      <c r="S28" s="125"/>
      <c r="T28" s="126">
        <f>-$AB$4/$L$4</f>
        <v>0.57833413749352203</v>
      </c>
      <c r="U28" s="126"/>
      <c r="V28" s="126"/>
      <c r="W28" s="126"/>
      <c r="X28" s="126">
        <f>-$AB$5/$L$5</f>
        <v>0.61502212024740799</v>
      </c>
      <c r="Y28" s="24"/>
      <c r="Z28" s="32"/>
      <c r="AA28" s="24"/>
      <c r="AB28" s="18"/>
    </row>
    <row r="29" spans="1:29" ht="13.15" x14ac:dyDescent="0.25">
      <c r="B29" s="18"/>
      <c r="D29" s="5"/>
      <c r="E29" s="5"/>
      <c r="F29" s="5"/>
      <c r="G29" s="5"/>
      <c r="H29" s="5"/>
      <c r="I29" s="5"/>
      <c r="L29" s="5"/>
      <c r="M29" s="122" t="s">
        <v>109</v>
      </c>
      <c r="N29" s="123"/>
      <c r="O29" s="123"/>
      <c r="P29" s="125"/>
      <c r="Q29" s="125"/>
      <c r="R29" s="125"/>
      <c r="S29" s="125"/>
      <c r="T29" s="126">
        <f>$S$4/$L$4</f>
        <v>0.14117478868457264</v>
      </c>
      <c r="U29" s="127"/>
      <c r="V29" s="127"/>
      <c r="W29" s="127"/>
      <c r="X29" s="127">
        <f>$S$5/$L$5</f>
        <v>0.14117478868457264</v>
      </c>
    </row>
    <row r="30" spans="1:29" ht="13.15" x14ac:dyDescent="0.25">
      <c r="B30" s="18"/>
      <c r="D30" s="5"/>
      <c r="E30" s="5"/>
      <c r="F30" s="5"/>
      <c r="G30" s="5"/>
      <c r="H30" s="5"/>
      <c r="I30" s="5"/>
      <c r="L30" s="5"/>
      <c r="M30" s="122" t="s">
        <v>622</v>
      </c>
      <c r="N30" s="123"/>
      <c r="O30" s="123"/>
      <c r="P30" s="125"/>
      <c r="Q30" s="125"/>
      <c r="R30" s="125"/>
      <c r="S30" s="125"/>
      <c r="T30" s="126">
        <f>Balansprognose!$F$44</f>
        <v>0.17687950106327846</v>
      </c>
      <c r="U30" s="127"/>
      <c r="V30" s="127"/>
      <c r="W30" s="127"/>
      <c r="X30" s="127">
        <f>Balansprognose!$G$44</f>
        <v>0.17866652370485533</v>
      </c>
      <c r="Y30" s="2"/>
    </row>
    <row r="31" spans="1:29" ht="13.15" x14ac:dyDescent="0.25">
      <c r="A31" s="5"/>
      <c r="B31" s="9"/>
      <c r="C31" s="5"/>
      <c r="D31" s="5"/>
      <c r="E31" s="5"/>
      <c r="F31" s="5"/>
      <c r="G31" s="5"/>
      <c r="H31" s="5"/>
      <c r="I31" s="5"/>
      <c r="L31" s="5"/>
      <c r="M31" s="122" t="s">
        <v>868</v>
      </c>
      <c r="N31" s="123"/>
      <c r="O31" s="123"/>
      <c r="P31" s="125"/>
      <c r="Q31" s="125"/>
      <c r="R31" s="125"/>
      <c r="S31" s="125"/>
      <c r="T31" s="138">
        <f>SUM(VLOOKUP($C$2,'Data macrogegevens'!$C$1:$G$402,5,0),$AA$4)</f>
        <v>-1228.6745965226226</v>
      </c>
      <c r="U31" s="138"/>
      <c r="V31" s="138"/>
      <c r="W31" s="138"/>
      <c r="X31" s="138">
        <f>SUM(VLOOKUP($C$2,'Data macrogegevens'!$C$1:$G$402,5,0),$AA$5)</f>
        <v>-1313.5558837629915</v>
      </c>
      <c r="Y31" s="8"/>
    </row>
    <row r="32" spans="1:29" ht="13.15" x14ac:dyDescent="0.25">
      <c r="A32" s="5"/>
      <c r="B32" s="9"/>
      <c r="C32" s="5"/>
      <c r="D32" s="5"/>
      <c r="E32" s="5"/>
      <c r="F32" s="5"/>
      <c r="G32" s="5"/>
      <c r="H32" s="5"/>
      <c r="I32" s="5"/>
      <c r="L32" s="5"/>
      <c r="M32" s="216" t="s">
        <v>653</v>
      </c>
      <c r="N32" s="123"/>
      <c r="O32" s="123"/>
      <c r="P32" s="125"/>
      <c r="Q32" s="125"/>
      <c r="R32" s="125"/>
      <c r="S32" s="125"/>
      <c r="T32" s="138"/>
      <c r="U32" s="138"/>
      <c r="V32" s="138"/>
      <c r="W32" s="138"/>
      <c r="X32" s="138"/>
    </row>
    <row r="33" spans="1:27" ht="13.15" x14ac:dyDescent="0.25">
      <c r="A33" s="5"/>
      <c r="B33" s="9"/>
      <c r="C33" s="5"/>
      <c r="D33" s="5"/>
      <c r="E33" s="5"/>
      <c r="F33" s="5"/>
      <c r="G33" s="5"/>
      <c r="H33" s="5"/>
      <c r="I33" s="5"/>
      <c r="L33" s="5"/>
      <c r="M33" s="122" t="s">
        <v>639</v>
      </c>
      <c r="N33" s="123"/>
      <c r="O33" s="123"/>
      <c r="P33" s="125"/>
      <c r="Q33" s="125"/>
      <c r="R33" s="125"/>
      <c r="S33" s="125"/>
      <c r="T33" s="126">
        <f>SUM(Balansprognose!$F$35,-Balansprognose!$F$36)/$L$4</f>
        <v>-3.4007040869207812E-2</v>
      </c>
      <c r="U33" s="127"/>
      <c r="V33" s="127"/>
      <c r="W33" s="127"/>
      <c r="X33" s="127">
        <f>SUM(Balansprognose!$G$35,-Balansprognose!$G$36)/$L$5</f>
        <v>-3.4007040869207812E-2</v>
      </c>
      <c r="Y33" s="24"/>
    </row>
    <row r="34" spans="1:27" ht="13.15" x14ac:dyDescent="0.25">
      <c r="A34" s="5"/>
      <c r="B34" s="9"/>
      <c r="C34" s="5"/>
      <c r="D34" s="5"/>
      <c r="E34" s="5"/>
      <c r="F34" s="5"/>
      <c r="G34" s="5"/>
      <c r="H34" s="5"/>
      <c r="I34" s="5"/>
      <c r="L34" s="5"/>
      <c r="M34" s="122" t="s">
        <v>793</v>
      </c>
      <c r="N34" s="123"/>
      <c r="O34" s="123"/>
      <c r="P34" s="125"/>
      <c r="Q34" s="125"/>
      <c r="R34" s="125"/>
      <c r="S34" s="125"/>
      <c r="T34" s="138"/>
      <c r="U34" s="138"/>
      <c r="V34" s="138"/>
      <c r="W34" s="138"/>
      <c r="X34" s="263">
        <f>'Inkomsten &amp; uitgaven'!Q29</f>
        <v>0.69142107316824353</v>
      </c>
      <c r="Y34" s="24"/>
    </row>
    <row r="35" spans="1:27" ht="13.15" x14ac:dyDescent="0.25">
      <c r="A35" s="5"/>
      <c r="B35" s="9"/>
      <c r="C35" s="5"/>
      <c r="D35" s="5"/>
      <c r="E35" s="5"/>
      <c r="F35" s="5"/>
      <c r="G35" s="5"/>
      <c r="H35" s="5"/>
      <c r="I35" s="5"/>
      <c r="L35" s="5"/>
      <c r="M35" s="122" t="s">
        <v>551</v>
      </c>
      <c r="N35" s="123"/>
      <c r="O35" s="123"/>
      <c r="P35" s="125"/>
      <c r="Q35" s="125"/>
      <c r="R35" s="125"/>
      <c r="S35" s="125"/>
      <c r="T35" s="126"/>
      <c r="U35" s="127"/>
      <c r="V35" s="127"/>
      <c r="W35" s="127"/>
      <c r="X35" s="127">
        <f>SUM($G$15,$G$16)/'Inkomsten &amp; uitgaven'!G89</f>
        <v>0.75271001956231653</v>
      </c>
      <c r="Y35" s="24"/>
    </row>
    <row r="36" spans="1:27" ht="13.15" x14ac:dyDescent="0.25">
      <c r="A36" s="5"/>
      <c r="B36" s="9"/>
      <c r="C36" s="5"/>
      <c r="D36" s="5"/>
      <c r="E36" s="5"/>
      <c r="F36" s="5"/>
      <c r="G36" s="5"/>
      <c r="H36" s="5"/>
      <c r="I36" s="5"/>
      <c r="L36" s="5"/>
      <c r="M36" s="122" t="s">
        <v>643</v>
      </c>
      <c r="N36" s="123"/>
      <c r="O36" s="129"/>
      <c r="P36" s="130"/>
      <c r="Q36" s="130"/>
      <c r="R36" s="130"/>
      <c r="S36" s="130"/>
      <c r="T36" s="126">
        <f>AA50/L4</f>
        <v>3.8663586944334534E-2</v>
      </c>
      <c r="U36" s="127"/>
      <c r="V36" s="127"/>
      <c r="W36" s="127"/>
      <c r="X36" s="127">
        <f>$G$15/$L$5</f>
        <v>3.8663586944334527E-2</v>
      </c>
      <c r="Y36" s="24"/>
    </row>
    <row r="37" spans="1:27" ht="13.15" x14ac:dyDescent="0.25">
      <c r="A37" s="5"/>
      <c r="B37" s="5"/>
      <c r="C37" s="5"/>
      <c r="D37" s="5"/>
      <c r="E37" s="5"/>
      <c r="F37" s="5"/>
      <c r="G37" s="5"/>
      <c r="H37" s="5"/>
      <c r="I37" s="5"/>
      <c r="L37" s="5"/>
      <c r="M37" s="216" t="s">
        <v>654</v>
      </c>
      <c r="N37" s="129"/>
      <c r="O37" s="129"/>
      <c r="P37" s="130"/>
      <c r="Q37" s="130"/>
      <c r="R37" s="130"/>
      <c r="S37" s="130"/>
      <c r="T37" s="126"/>
      <c r="U37" s="127"/>
      <c r="V37" s="127"/>
      <c r="W37" s="127"/>
      <c r="X37" s="127"/>
      <c r="Y37" s="24"/>
    </row>
    <row r="38" spans="1:27" ht="13.15" x14ac:dyDescent="0.25">
      <c r="A38" s="5"/>
      <c r="B38" s="5"/>
      <c r="C38" s="5"/>
      <c r="D38" s="5"/>
      <c r="E38" s="5"/>
      <c r="F38" s="5"/>
      <c r="G38" s="5"/>
      <c r="H38" s="5"/>
      <c r="I38" s="5"/>
      <c r="L38" s="5"/>
      <c r="M38" s="122" t="s">
        <v>721</v>
      </c>
      <c r="N38" s="125"/>
      <c r="O38" s="125"/>
      <c r="P38" s="125"/>
      <c r="Q38" s="125"/>
      <c r="R38" s="125"/>
      <c r="S38" s="125"/>
      <c r="T38" s="128">
        <f>SUM(VLOOKUP($C$2,'Data OZB belastingen'!$C$1:$H$402,5,0),-'Data OZB belastingen'!$G$390)</f>
        <v>-22.287226699699772</v>
      </c>
      <c r="U38" s="128"/>
      <c r="V38" s="128"/>
      <c r="W38" s="128"/>
      <c r="X38" s="128">
        <f>SUM($C$18*VLOOKUP($C$2,'Data OZB belastingen'!$C$1:$H$402,6,0)/VLOOKUP($C$2,'Data OZB belastingen'!$C$1:$O$402,13,0),-'Data OZB belastingen'!$G$390)</f>
        <v>-22.287226699699744</v>
      </c>
      <c r="Y38" s="24"/>
    </row>
    <row r="39" spans="1:27" ht="13.15" x14ac:dyDescent="0.25">
      <c r="A39" s="5"/>
      <c r="B39" s="5"/>
      <c r="C39" s="5"/>
      <c r="D39" s="5"/>
      <c r="E39" s="5"/>
      <c r="F39" s="5"/>
      <c r="G39" s="5"/>
      <c r="H39" s="5"/>
      <c r="I39" s="5"/>
      <c r="L39" s="5"/>
      <c r="M39" s="254" t="s">
        <v>881</v>
      </c>
      <c r="N39" s="125"/>
      <c r="O39" s="125"/>
      <c r="P39" s="125"/>
      <c r="Q39" s="125"/>
      <c r="R39" s="125"/>
      <c r="S39" s="125"/>
      <c r="T39" s="211"/>
      <c r="U39" s="211"/>
      <c r="V39" s="211"/>
      <c r="W39" s="211"/>
      <c r="X39" s="126">
        <f>'Inkomsten &amp; uitgaven'!$Q$30</f>
        <v>1.1981591873996056E-2</v>
      </c>
      <c r="Y39" s="8"/>
    </row>
    <row r="40" spans="1:27" ht="13.15" x14ac:dyDescent="0.25">
      <c r="A40" s="5"/>
      <c r="B40" s="5"/>
      <c r="C40" s="5"/>
      <c r="D40" s="5"/>
      <c r="E40" s="5"/>
      <c r="I40" s="5"/>
      <c r="L40" s="5"/>
      <c r="M40" s="122" t="s">
        <v>866</v>
      </c>
      <c r="N40" s="125"/>
      <c r="O40" s="125"/>
      <c r="P40" s="125"/>
      <c r="Q40" s="125"/>
      <c r="R40" s="125"/>
      <c r="S40" s="125"/>
      <c r="T40" s="211"/>
      <c r="U40" s="280"/>
      <c r="V40" s="280"/>
      <c r="W40" s="280"/>
      <c r="X40" s="127">
        <f>SUM(-('Investeringen &amp; financiering'!$C$4*'Investeringen &amp; financiering'!$C$3),Balansprognose!$C$35,Balansprognose!$C$36)/Macrogegevens!$L$5</f>
        <v>-1.8805812029486831E-2</v>
      </c>
      <c r="Y40" s="24"/>
    </row>
    <row r="41" spans="1:27" ht="13.15" x14ac:dyDescent="0.25">
      <c r="A41" s="5"/>
      <c r="B41" s="5"/>
      <c r="C41" s="5"/>
      <c r="D41" s="5"/>
      <c r="E41" s="5"/>
      <c r="I41" s="5"/>
      <c r="L41" s="5"/>
      <c r="M41" s="122" t="s">
        <v>915</v>
      </c>
      <c r="N41" s="125"/>
      <c r="O41" s="125"/>
      <c r="P41" s="125"/>
      <c r="Q41" s="125"/>
      <c r="R41" s="125"/>
      <c r="S41" s="125"/>
      <c r="T41" s="286">
        <f>Balansprognose!F45</f>
        <v>-0.60400744334418821</v>
      </c>
      <c r="U41" s="264"/>
      <c r="V41" s="264"/>
      <c r="W41" s="264"/>
      <c r="X41" s="285">
        <f>Balansprognose!G45</f>
        <v>-0.57311310122304804</v>
      </c>
    </row>
    <row r="42" spans="1:27" ht="13.15" x14ac:dyDescent="0.25">
      <c r="A42" s="5"/>
      <c r="B42" s="5"/>
      <c r="C42" s="5"/>
      <c r="M42" s="216" t="s">
        <v>655</v>
      </c>
      <c r="N42" s="125"/>
      <c r="O42" s="125"/>
      <c r="P42" s="125"/>
      <c r="Q42" s="125"/>
      <c r="R42" s="125"/>
      <c r="S42" s="125"/>
      <c r="T42" s="210"/>
      <c r="U42" s="210"/>
      <c r="V42" s="210"/>
      <c r="W42" s="210"/>
      <c r="X42" s="211"/>
    </row>
    <row r="43" spans="1:27" ht="13.15" x14ac:dyDescent="0.25">
      <c r="A43" s="5"/>
      <c r="B43" s="5"/>
      <c r="C43" s="5"/>
      <c r="M43" s="122" t="s">
        <v>867</v>
      </c>
      <c r="N43" s="125"/>
      <c r="O43" s="125"/>
      <c r="P43" s="125"/>
      <c r="Q43" s="125"/>
      <c r="R43" s="125"/>
      <c r="S43" s="125"/>
      <c r="T43" s="210"/>
      <c r="U43" s="210"/>
      <c r="V43" s="210"/>
      <c r="W43" s="210"/>
      <c r="X43" s="126">
        <f>$H$18/'Inkomsten &amp; uitgaven'!G89</f>
        <v>4.1399051075927409E-2</v>
      </c>
    </row>
    <row r="44" spans="1:27" ht="13.15" x14ac:dyDescent="0.25">
      <c r="M44" s="213" t="s">
        <v>668</v>
      </c>
      <c r="N44" s="212"/>
      <c r="O44" s="212"/>
      <c r="P44" s="212"/>
      <c r="Q44" s="212"/>
      <c r="R44" s="212"/>
      <c r="S44" s="212"/>
      <c r="T44" s="253"/>
      <c r="U44" s="253"/>
      <c r="V44" s="253"/>
      <c r="W44" s="253"/>
      <c r="X44" s="246">
        <f>$H$18/SUM($G$15,$G$16)</f>
        <v>5.5E-2</v>
      </c>
    </row>
    <row r="45" spans="1:27" ht="13.15" hidden="1" x14ac:dyDescent="0.25">
      <c r="P45" s="139" t="s">
        <v>161</v>
      </c>
      <c r="Q45" s="52" t="s">
        <v>720</v>
      </c>
      <c r="R45" s="16"/>
      <c r="S45" s="16" t="s">
        <v>797</v>
      </c>
      <c r="T45" s="16" t="s">
        <v>841</v>
      </c>
      <c r="U45" s="16"/>
      <c r="V45" s="16"/>
      <c r="W45" s="16"/>
      <c r="X45" s="16" t="s">
        <v>798</v>
      </c>
      <c r="Y45" s="16" t="s">
        <v>840</v>
      </c>
      <c r="Z45" s="16" t="s">
        <v>842</v>
      </c>
      <c r="AA45" s="16" t="s">
        <v>843</v>
      </c>
    </row>
    <row r="46" spans="1:27" ht="13.15" hidden="1" x14ac:dyDescent="0.25">
      <c r="P46" s="139" t="s">
        <v>434</v>
      </c>
      <c r="Q46" s="16" t="s">
        <v>794</v>
      </c>
      <c r="R46" s="16">
        <f>VLOOKUP($C$2,'Data OZB belastingen'!$C$1:$J$390,6,0)</f>
        <v>2330147697.6542139</v>
      </c>
      <c r="S46" s="16">
        <f>'Data OZB belastingen'!$B$390*1.2</f>
        <v>1.9601259143750436E-3</v>
      </c>
      <c r="T46" s="16">
        <f>R46*S46</f>
        <v>4567382.886493369</v>
      </c>
      <c r="U46" s="16"/>
      <c r="V46" s="16"/>
      <c r="W46" s="16"/>
      <c r="X46" s="16">
        <f>C18*R46</f>
        <v>2838119.8957428327</v>
      </c>
      <c r="Y46" s="16">
        <f>SUM(T46,-X46)</f>
        <v>1729262.9907505363</v>
      </c>
      <c r="Z46" s="16">
        <f>VLOOKUP($C$2,'Data OZB belastingen'!$C$1:$J$390,2,0)*R46/100</f>
        <v>2838119.8957428322</v>
      </c>
      <c r="AA46" s="16">
        <f>SUM(T46,-Z46)</f>
        <v>1729262.9907505368</v>
      </c>
    </row>
    <row r="47" spans="1:27" ht="13.15" hidden="1" x14ac:dyDescent="0.25">
      <c r="P47" s="139" t="s">
        <v>319</v>
      </c>
      <c r="Q47" s="16" t="s">
        <v>795</v>
      </c>
      <c r="R47" s="16">
        <f>VLOOKUP($C$2,'Data OZB belastingen'!$C$1:$J$390,8,0)</f>
        <v>444877702.94221902</v>
      </c>
      <c r="S47" s="16">
        <f>'Data OZB belastingen'!$B$390*1.2</f>
        <v>1.9601259143750436E-3</v>
      </c>
      <c r="T47" s="16">
        <f t="shared" ref="T47:T48" si="3">R47*S47</f>
        <v>872016.31426468608</v>
      </c>
      <c r="U47" s="16"/>
      <c r="V47" s="16"/>
      <c r="W47" s="16"/>
      <c r="X47" s="16">
        <f>C19*R47</f>
        <v>833255.93761077616</v>
      </c>
      <c r="Y47" s="16">
        <f>SUM(T47,-X47)</f>
        <v>38760.376653909916</v>
      </c>
      <c r="Z47" s="16">
        <f>VLOOKUP($C$2,'Data OZB belastingen'!$C$1:$J$390,3,0)*R47/100</f>
        <v>833255.93761077616</v>
      </c>
      <c r="AA47" s="16">
        <f>SUM(T47,-Z47)</f>
        <v>38760.376653909916</v>
      </c>
    </row>
    <row r="48" spans="1:27" ht="13.15" hidden="1" x14ac:dyDescent="0.25">
      <c r="P48" s="139" t="s">
        <v>241</v>
      </c>
      <c r="Q48" s="16" t="s">
        <v>796</v>
      </c>
      <c r="R48" s="16">
        <f>VLOOKUP($C$2,'Data OZB belastingen'!$C$1:$J$390,7,0)</f>
        <v>444877702.94221902</v>
      </c>
      <c r="S48" s="16">
        <f>'Data OZB belastingen'!$B$390*1.2</f>
        <v>1.9601259143750436E-3</v>
      </c>
      <c r="T48" s="16">
        <f t="shared" si="3"/>
        <v>872016.31426468608</v>
      </c>
      <c r="U48" s="16"/>
      <c r="V48" s="16"/>
      <c r="W48" s="16"/>
      <c r="X48" s="16">
        <f>C20*R48</f>
        <v>476464.01985111652</v>
      </c>
      <c r="Y48" s="16">
        <f>SUM(T48,-X48)</f>
        <v>395552.29441356956</v>
      </c>
      <c r="Z48" s="16">
        <f>VLOOKUP($C$2,'Data OZB belastingen'!$C$1:$J$390,4,0)*R48/100</f>
        <v>476464.01985111652</v>
      </c>
      <c r="AA48" s="16">
        <f>SUM(T48,-Z48)</f>
        <v>395552.29441356956</v>
      </c>
    </row>
    <row r="49" spans="16:27" ht="13.15" hidden="1" x14ac:dyDescent="0.25">
      <c r="P49" s="139" t="s">
        <v>197</v>
      </c>
      <c r="Q49" s="16" t="s">
        <v>720</v>
      </c>
      <c r="R49" s="16"/>
      <c r="S49" s="16"/>
      <c r="T49" s="16"/>
      <c r="U49" s="16"/>
      <c r="V49" s="16"/>
      <c r="W49" s="16"/>
      <c r="X49" s="16"/>
      <c r="Y49" s="63">
        <f>SUM(Y46:Y48)</f>
        <v>2163575.6618180159</v>
      </c>
      <c r="Z49" s="252"/>
      <c r="AA49" s="16">
        <f>SUM(AA46:AA48)</f>
        <v>2163575.6618180163</v>
      </c>
    </row>
    <row r="50" spans="16:27" ht="13.15" hidden="1" x14ac:dyDescent="0.25">
      <c r="P50" s="139" t="s">
        <v>364</v>
      </c>
      <c r="Y50" s="50">
        <f>IF(Y49&gt;0,Y49,0)</f>
        <v>2163575.6618180159</v>
      </c>
      <c r="AA50" s="50">
        <f>IF(AA49&gt;0,AA49,0)</f>
        <v>2163575.6618180163</v>
      </c>
    </row>
    <row r="51" spans="16:27" ht="13.15" hidden="1" x14ac:dyDescent="0.25">
      <c r="P51" s="139" t="s">
        <v>365</v>
      </c>
    </row>
    <row r="52" spans="16:27" ht="13.15" hidden="1" x14ac:dyDescent="0.25">
      <c r="P52" s="139" t="s">
        <v>320</v>
      </c>
    </row>
    <row r="53" spans="16:27" ht="13.15" hidden="1" x14ac:dyDescent="0.25">
      <c r="P53" s="139" t="s">
        <v>217</v>
      </c>
    </row>
    <row r="54" spans="16:27" ht="13.15" hidden="1" x14ac:dyDescent="0.25">
      <c r="P54" s="139" t="s">
        <v>529</v>
      </c>
    </row>
    <row r="55" spans="16:27" ht="13.15" x14ac:dyDescent="0.25">
      <c r="P55" s="139" t="s">
        <v>366</v>
      </c>
    </row>
    <row r="56" spans="16:27" ht="13.15" x14ac:dyDescent="0.25">
      <c r="P56" s="139" t="s">
        <v>435</v>
      </c>
    </row>
    <row r="57" spans="16:27" ht="13.15" x14ac:dyDescent="0.25">
      <c r="P57" s="139" t="s">
        <v>198</v>
      </c>
    </row>
    <row r="58" spans="16:27" ht="13.15" x14ac:dyDescent="0.25">
      <c r="P58" s="139" t="s">
        <v>294</v>
      </c>
    </row>
    <row r="59" spans="16:27" ht="13.15" x14ac:dyDescent="0.25">
      <c r="P59" s="139" t="s">
        <v>321</v>
      </c>
    </row>
    <row r="60" spans="16:27" ht="13.15" x14ac:dyDescent="0.25">
      <c r="P60" s="139" t="s">
        <v>322</v>
      </c>
    </row>
    <row r="61" spans="16:27" ht="13.15" x14ac:dyDescent="0.25">
      <c r="P61" s="139" t="s">
        <v>242</v>
      </c>
    </row>
    <row r="62" spans="16:27" ht="13.15" x14ac:dyDescent="0.25">
      <c r="P62" s="139" t="s">
        <v>174</v>
      </c>
    </row>
    <row r="63" spans="16:27" ht="13.15" x14ac:dyDescent="0.25">
      <c r="P63" s="139" t="s">
        <v>243</v>
      </c>
    </row>
    <row r="64" spans="16:27" ht="13.15" x14ac:dyDescent="0.25">
      <c r="P64" s="139" t="s">
        <v>162</v>
      </c>
    </row>
    <row r="65" spans="16:16" ht="13.15" x14ac:dyDescent="0.25">
      <c r="P65" s="139" t="s">
        <v>436</v>
      </c>
    </row>
    <row r="66" spans="16:16" ht="13.15" x14ac:dyDescent="0.25">
      <c r="P66" s="139" t="s">
        <v>437</v>
      </c>
    </row>
    <row r="67" spans="16:16" ht="13.15" x14ac:dyDescent="0.25">
      <c r="P67" s="139" t="s">
        <v>295</v>
      </c>
    </row>
    <row r="68" spans="16:16" x14ac:dyDescent="0.2">
      <c r="P68" s="139" t="s">
        <v>367</v>
      </c>
    </row>
    <row r="69" spans="16:16" x14ac:dyDescent="0.2">
      <c r="P69" s="139" t="s">
        <v>244</v>
      </c>
    </row>
    <row r="70" spans="16:16" x14ac:dyDescent="0.2">
      <c r="P70" s="139" t="s">
        <v>175</v>
      </c>
    </row>
    <row r="71" spans="16:16" x14ac:dyDescent="0.2">
      <c r="P71" s="139" t="s">
        <v>497</v>
      </c>
    </row>
    <row r="72" spans="16:16" x14ac:dyDescent="0.2">
      <c r="P72" s="139" t="s">
        <v>323</v>
      </c>
    </row>
    <row r="73" spans="16:16" x14ac:dyDescent="0.2">
      <c r="P73" s="139" t="s">
        <v>498</v>
      </c>
    </row>
    <row r="74" spans="16:16" x14ac:dyDescent="0.2">
      <c r="P74" s="139" t="s">
        <v>176</v>
      </c>
    </row>
    <row r="75" spans="16:16" x14ac:dyDescent="0.2">
      <c r="P75" s="139" t="s">
        <v>700</v>
      </c>
    </row>
    <row r="76" spans="16:16" x14ac:dyDescent="0.2">
      <c r="P76" s="139" t="s">
        <v>438</v>
      </c>
    </row>
    <row r="77" spans="16:16" x14ac:dyDescent="0.2">
      <c r="P77" s="139" t="s">
        <v>537</v>
      </c>
    </row>
    <row r="78" spans="16:16" x14ac:dyDescent="0.2">
      <c r="P78" s="139" t="s">
        <v>538</v>
      </c>
    </row>
    <row r="79" spans="16:16" x14ac:dyDescent="0.2">
      <c r="P79" s="139" t="s">
        <v>439</v>
      </c>
    </row>
    <row r="80" spans="16:16" x14ac:dyDescent="0.2">
      <c r="P80" s="139" t="s">
        <v>245</v>
      </c>
    </row>
    <row r="81" spans="16:16" x14ac:dyDescent="0.2">
      <c r="P81" s="139" t="s">
        <v>440</v>
      </c>
    </row>
    <row r="82" spans="16:16" x14ac:dyDescent="0.2">
      <c r="P82" s="139" t="s">
        <v>441</v>
      </c>
    </row>
    <row r="83" spans="16:16" x14ac:dyDescent="0.2">
      <c r="P83" s="139" t="s">
        <v>246</v>
      </c>
    </row>
    <row r="84" spans="16:16" x14ac:dyDescent="0.2">
      <c r="P84" s="139" t="s">
        <v>324</v>
      </c>
    </row>
    <row r="85" spans="16:16" x14ac:dyDescent="0.2">
      <c r="P85" s="139" t="s">
        <v>368</v>
      </c>
    </row>
    <row r="86" spans="16:16" x14ac:dyDescent="0.2">
      <c r="P86" s="139" t="s">
        <v>442</v>
      </c>
    </row>
    <row r="87" spans="16:16" x14ac:dyDescent="0.2">
      <c r="P87" s="139" t="s">
        <v>325</v>
      </c>
    </row>
    <row r="88" spans="16:16" x14ac:dyDescent="0.2">
      <c r="P88" s="139" t="s">
        <v>326</v>
      </c>
    </row>
    <row r="89" spans="16:16" x14ac:dyDescent="0.2">
      <c r="P89" s="139" t="s">
        <v>369</v>
      </c>
    </row>
    <row r="90" spans="16:16" x14ac:dyDescent="0.2">
      <c r="P90" s="139" t="s">
        <v>443</v>
      </c>
    </row>
    <row r="91" spans="16:16" x14ac:dyDescent="0.2">
      <c r="P91" s="139" t="s">
        <v>163</v>
      </c>
    </row>
    <row r="92" spans="16:16" x14ac:dyDescent="0.2">
      <c r="P92" s="139" t="s">
        <v>218</v>
      </c>
    </row>
    <row r="93" spans="16:16" x14ac:dyDescent="0.2">
      <c r="P93" s="139" t="s">
        <v>421</v>
      </c>
    </row>
    <row r="94" spans="16:16" x14ac:dyDescent="0.2">
      <c r="P94" s="139" t="s">
        <v>444</v>
      </c>
    </row>
    <row r="95" spans="16:16" x14ac:dyDescent="0.2">
      <c r="P95" s="139" t="s">
        <v>445</v>
      </c>
    </row>
    <row r="96" spans="16:16" x14ac:dyDescent="0.2">
      <c r="P96" s="139" t="s">
        <v>446</v>
      </c>
    </row>
    <row r="97" spans="16:16" x14ac:dyDescent="0.2">
      <c r="P97" s="139" t="s">
        <v>370</v>
      </c>
    </row>
    <row r="98" spans="16:16" x14ac:dyDescent="0.2">
      <c r="P98" s="139" t="s">
        <v>247</v>
      </c>
    </row>
    <row r="99" spans="16:16" x14ac:dyDescent="0.2">
      <c r="P99" s="139" t="s">
        <v>248</v>
      </c>
    </row>
    <row r="100" spans="16:16" x14ac:dyDescent="0.2">
      <c r="P100" s="139" t="s">
        <v>499</v>
      </c>
    </row>
    <row r="101" spans="16:16" x14ac:dyDescent="0.2">
      <c r="P101" s="139" t="s">
        <v>296</v>
      </c>
    </row>
    <row r="102" spans="16:16" x14ac:dyDescent="0.2">
      <c r="P102" s="139" t="s">
        <v>297</v>
      </c>
    </row>
    <row r="103" spans="16:16" x14ac:dyDescent="0.2">
      <c r="P103" s="139" t="s">
        <v>249</v>
      </c>
    </row>
    <row r="104" spans="16:16" x14ac:dyDescent="0.2">
      <c r="P104" s="139" t="s">
        <v>371</v>
      </c>
    </row>
    <row r="105" spans="16:16" x14ac:dyDescent="0.2">
      <c r="P105" s="139" t="s">
        <v>327</v>
      </c>
    </row>
    <row r="106" spans="16:16" x14ac:dyDescent="0.2">
      <c r="P106" s="139" t="s">
        <v>164</v>
      </c>
    </row>
    <row r="107" spans="16:16" x14ac:dyDescent="0.2">
      <c r="P107" s="139" t="s">
        <v>447</v>
      </c>
    </row>
    <row r="108" spans="16:16" x14ac:dyDescent="0.2">
      <c r="P108" s="139" t="s">
        <v>372</v>
      </c>
    </row>
    <row r="109" spans="16:16" x14ac:dyDescent="0.2">
      <c r="P109" s="139" t="s">
        <v>448</v>
      </c>
    </row>
    <row r="110" spans="16:16" x14ac:dyDescent="0.2">
      <c r="P110" s="139" t="s">
        <v>250</v>
      </c>
    </row>
    <row r="111" spans="16:16" x14ac:dyDescent="0.2">
      <c r="P111" s="139" t="s">
        <v>219</v>
      </c>
    </row>
    <row r="112" spans="16:16" x14ac:dyDescent="0.2">
      <c r="P112" s="139" t="s">
        <v>199</v>
      </c>
    </row>
    <row r="113" spans="16:16" x14ac:dyDescent="0.2">
      <c r="P113" s="139" t="s">
        <v>298</v>
      </c>
    </row>
    <row r="114" spans="16:16" x14ac:dyDescent="0.2">
      <c r="P114" s="139" t="s">
        <v>702</v>
      </c>
    </row>
    <row r="115" spans="16:16" x14ac:dyDescent="0.2">
      <c r="P115" s="139" t="s">
        <v>177</v>
      </c>
    </row>
    <row r="116" spans="16:16" x14ac:dyDescent="0.2">
      <c r="P116" s="139" t="s">
        <v>299</v>
      </c>
    </row>
    <row r="117" spans="16:16" x14ac:dyDescent="0.2">
      <c r="P117" s="139" t="s">
        <v>172</v>
      </c>
    </row>
    <row r="118" spans="16:16" x14ac:dyDescent="0.2">
      <c r="P118" s="139" t="s">
        <v>373</v>
      </c>
    </row>
    <row r="119" spans="16:16" x14ac:dyDescent="0.2">
      <c r="P119" s="139" t="s">
        <v>178</v>
      </c>
    </row>
    <row r="120" spans="16:16" x14ac:dyDescent="0.2">
      <c r="P120" s="139" t="s">
        <v>328</v>
      </c>
    </row>
    <row r="121" spans="16:16" x14ac:dyDescent="0.2">
      <c r="P121" s="139" t="s">
        <v>449</v>
      </c>
    </row>
    <row r="122" spans="16:16" x14ac:dyDescent="0.2">
      <c r="P122" s="139" t="s">
        <v>220</v>
      </c>
    </row>
    <row r="123" spans="16:16" x14ac:dyDescent="0.2">
      <c r="P123" s="139" t="s">
        <v>329</v>
      </c>
    </row>
    <row r="124" spans="16:16" x14ac:dyDescent="0.2">
      <c r="P124" s="139" t="s">
        <v>221</v>
      </c>
    </row>
    <row r="125" spans="16:16" x14ac:dyDescent="0.2">
      <c r="P125" s="139" t="s">
        <v>251</v>
      </c>
    </row>
    <row r="126" spans="16:16" x14ac:dyDescent="0.2">
      <c r="P126" s="139" t="s">
        <v>252</v>
      </c>
    </row>
    <row r="127" spans="16:16" x14ac:dyDescent="0.2">
      <c r="P127" s="139" t="s">
        <v>450</v>
      </c>
    </row>
    <row r="128" spans="16:16" x14ac:dyDescent="0.2">
      <c r="P128" s="139" t="s">
        <v>200</v>
      </c>
    </row>
    <row r="129" spans="16:16" x14ac:dyDescent="0.2">
      <c r="P129" s="139" t="s">
        <v>374</v>
      </c>
    </row>
    <row r="130" spans="16:16" x14ac:dyDescent="0.2">
      <c r="P130" s="139" t="s">
        <v>330</v>
      </c>
    </row>
    <row r="131" spans="16:16" x14ac:dyDescent="0.2">
      <c r="P131" s="139" t="s">
        <v>451</v>
      </c>
    </row>
    <row r="132" spans="16:16" x14ac:dyDescent="0.2">
      <c r="P132" s="139" t="s">
        <v>530</v>
      </c>
    </row>
    <row r="133" spans="16:16" x14ac:dyDescent="0.2">
      <c r="P133" s="139" t="s">
        <v>253</v>
      </c>
    </row>
    <row r="134" spans="16:16" x14ac:dyDescent="0.2">
      <c r="P134" s="139" t="s">
        <v>254</v>
      </c>
    </row>
    <row r="135" spans="16:16" x14ac:dyDescent="0.2">
      <c r="P135" s="139" t="s">
        <v>500</v>
      </c>
    </row>
    <row r="136" spans="16:16" x14ac:dyDescent="0.2">
      <c r="P136" s="139" t="s">
        <v>331</v>
      </c>
    </row>
    <row r="137" spans="16:16" x14ac:dyDescent="0.2">
      <c r="P137" s="139" t="s">
        <v>255</v>
      </c>
    </row>
    <row r="138" spans="16:16" x14ac:dyDescent="0.2">
      <c r="P138" s="139" t="s">
        <v>300</v>
      </c>
    </row>
    <row r="139" spans="16:16" x14ac:dyDescent="0.2">
      <c r="P139" s="139" t="s">
        <v>179</v>
      </c>
    </row>
    <row r="140" spans="16:16" x14ac:dyDescent="0.2">
      <c r="P140" s="139" t="s">
        <v>452</v>
      </c>
    </row>
    <row r="141" spans="16:16" x14ac:dyDescent="0.2">
      <c r="P141" s="139" t="s">
        <v>501</v>
      </c>
    </row>
    <row r="142" spans="16:16" x14ac:dyDescent="0.2">
      <c r="P142" s="139" t="s">
        <v>453</v>
      </c>
    </row>
    <row r="143" spans="16:16" x14ac:dyDescent="0.2">
      <c r="P143" s="139" t="s">
        <v>256</v>
      </c>
    </row>
    <row r="144" spans="16:16" x14ac:dyDescent="0.2">
      <c r="P144" s="139" t="s">
        <v>165</v>
      </c>
    </row>
    <row r="145" spans="16:16" x14ac:dyDescent="0.2">
      <c r="P145" s="139" t="s">
        <v>332</v>
      </c>
    </row>
    <row r="146" spans="16:16" x14ac:dyDescent="0.2">
      <c r="P146" s="139" t="s">
        <v>222</v>
      </c>
    </row>
    <row r="147" spans="16:16" x14ac:dyDescent="0.2">
      <c r="P147" s="139" t="s">
        <v>257</v>
      </c>
    </row>
    <row r="148" spans="16:16" x14ac:dyDescent="0.2">
      <c r="P148" s="139" t="s">
        <v>258</v>
      </c>
    </row>
    <row r="149" spans="16:16" x14ac:dyDescent="0.2">
      <c r="P149" s="139" t="s">
        <v>454</v>
      </c>
    </row>
    <row r="150" spans="16:16" x14ac:dyDescent="0.2">
      <c r="P150" s="139" t="s">
        <v>201</v>
      </c>
    </row>
    <row r="151" spans="16:16" x14ac:dyDescent="0.2">
      <c r="P151" s="139" t="s">
        <v>202</v>
      </c>
    </row>
    <row r="152" spans="16:16" x14ac:dyDescent="0.2">
      <c r="P152" s="139" t="s">
        <v>455</v>
      </c>
    </row>
    <row r="153" spans="16:16" x14ac:dyDescent="0.2">
      <c r="P153" s="139" t="s">
        <v>259</v>
      </c>
    </row>
    <row r="154" spans="16:16" x14ac:dyDescent="0.2">
      <c r="P154" s="139" t="s">
        <v>456</v>
      </c>
    </row>
    <row r="155" spans="16:16" x14ac:dyDescent="0.2">
      <c r="P155" s="139" t="s">
        <v>457</v>
      </c>
    </row>
    <row r="156" spans="16:16" x14ac:dyDescent="0.2">
      <c r="P156" s="139" t="s">
        <v>502</v>
      </c>
    </row>
    <row r="157" spans="16:16" x14ac:dyDescent="0.2">
      <c r="P157" s="139" t="s">
        <v>375</v>
      </c>
    </row>
    <row r="158" spans="16:16" x14ac:dyDescent="0.2">
      <c r="P158" s="139" t="s">
        <v>458</v>
      </c>
    </row>
    <row r="159" spans="16:16" x14ac:dyDescent="0.2">
      <c r="P159" s="139" t="s">
        <v>376</v>
      </c>
    </row>
    <row r="160" spans="16:16" x14ac:dyDescent="0.2">
      <c r="P160" s="139" t="s">
        <v>422</v>
      </c>
    </row>
    <row r="161" spans="16:16" x14ac:dyDescent="0.2">
      <c r="P161" s="139" t="s">
        <v>459</v>
      </c>
    </row>
    <row r="162" spans="16:16" x14ac:dyDescent="0.2">
      <c r="P162" s="139" t="s">
        <v>637</v>
      </c>
    </row>
    <row r="163" spans="16:16" x14ac:dyDescent="0.2">
      <c r="P163" s="139" t="s">
        <v>377</v>
      </c>
    </row>
    <row r="164" spans="16:16" x14ac:dyDescent="0.2">
      <c r="P164" s="139" t="s">
        <v>378</v>
      </c>
    </row>
    <row r="165" spans="16:16" x14ac:dyDescent="0.2">
      <c r="P165" s="139" t="s">
        <v>460</v>
      </c>
    </row>
    <row r="166" spans="16:16" x14ac:dyDescent="0.2">
      <c r="P166" s="139" t="s">
        <v>180</v>
      </c>
    </row>
    <row r="167" spans="16:16" x14ac:dyDescent="0.2">
      <c r="P167" s="139" t="s">
        <v>181</v>
      </c>
    </row>
    <row r="168" spans="16:16" x14ac:dyDescent="0.2">
      <c r="P168" s="139" t="s">
        <v>503</v>
      </c>
    </row>
    <row r="169" spans="16:16" x14ac:dyDescent="0.2">
      <c r="P169" s="139" t="s">
        <v>223</v>
      </c>
    </row>
    <row r="170" spans="16:16" x14ac:dyDescent="0.2">
      <c r="P170" s="139" t="s">
        <v>461</v>
      </c>
    </row>
    <row r="171" spans="16:16" x14ac:dyDescent="0.2">
      <c r="P171" s="139" t="s">
        <v>333</v>
      </c>
    </row>
    <row r="172" spans="16:16" x14ac:dyDescent="0.2">
      <c r="P172" s="139" t="s">
        <v>539</v>
      </c>
    </row>
    <row r="173" spans="16:16" x14ac:dyDescent="0.2">
      <c r="P173" s="139" t="s">
        <v>334</v>
      </c>
    </row>
    <row r="174" spans="16:16" x14ac:dyDescent="0.2">
      <c r="P174" s="139" t="s">
        <v>462</v>
      </c>
    </row>
    <row r="175" spans="16:16" x14ac:dyDescent="0.2">
      <c r="P175" s="139" t="s">
        <v>224</v>
      </c>
    </row>
    <row r="176" spans="16:16" x14ac:dyDescent="0.2">
      <c r="P176" s="139" t="s">
        <v>260</v>
      </c>
    </row>
    <row r="177" spans="16:16" x14ac:dyDescent="0.2">
      <c r="P177" s="139" t="s">
        <v>379</v>
      </c>
    </row>
    <row r="178" spans="16:16" x14ac:dyDescent="0.2">
      <c r="P178" s="139" t="s">
        <v>182</v>
      </c>
    </row>
    <row r="179" spans="16:16" x14ac:dyDescent="0.2">
      <c r="P179" s="139" t="s">
        <v>203</v>
      </c>
    </row>
    <row r="180" spans="16:16" x14ac:dyDescent="0.2">
      <c r="P180" s="139" t="s">
        <v>261</v>
      </c>
    </row>
    <row r="181" spans="16:16" x14ac:dyDescent="0.2">
      <c r="P181" s="139" t="s">
        <v>335</v>
      </c>
    </row>
    <row r="182" spans="16:16" x14ac:dyDescent="0.2">
      <c r="P182" s="139" t="s">
        <v>336</v>
      </c>
    </row>
    <row r="183" spans="16:16" x14ac:dyDescent="0.2">
      <c r="P183" s="139" t="s">
        <v>262</v>
      </c>
    </row>
    <row r="184" spans="16:16" x14ac:dyDescent="0.2">
      <c r="P184" s="139" t="s">
        <v>204</v>
      </c>
    </row>
    <row r="185" spans="16:16" x14ac:dyDescent="0.2">
      <c r="P185" s="139" t="s">
        <v>337</v>
      </c>
    </row>
    <row r="186" spans="16:16" x14ac:dyDescent="0.2">
      <c r="P186" s="139" t="s">
        <v>504</v>
      </c>
    </row>
    <row r="187" spans="16:16" x14ac:dyDescent="0.2">
      <c r="P187" s="139" t="s">
        <v>463</v>
      </c>
    </row>
    <row r="188" spans="16:16" x14ac:dyDescent="0.2">
      <c r="P188" s="139" t="s">
        <v>338</v>
      </c>
    </row>
    <row r="189" spans="16:16" x14ac:dyDescent="0.2">
      <c r="P189" s="139" t="s">
        <v>225</v>
      </c>
    </row>
    <row r="190" spans="16:16" x14ac:dyDescent="0.2">
      <c r="P190" s="139" t="s">
        <v>380</v>
      </c>
    </row>
    <row r="191" spans="16:16" x14ac:dyDescent="0.2">
      <c r="P191" s="139" t="s">
        <v>464</v>
      </c>
    </row>
    <row r="192" spans="16:16" x14ac:dyDescent="0.2">
      <c r="P192" s="139" t="s">
        <v>381</v>
      </c>
    </row>
    <row r="193" spans="16:16" x14ac:dyDescent="0.2">
      <c r="P193" s="139" t="s">
        <v>547</v>
      </c>
    </row>
    <row r="194" spans="16:16" x14ac:dyDescent="0.2">
      <c r="P194" s="139" t="s">
        <v>540</v>
      </c>
    </row>
    <row r="195" spans="16:16" x14ac:dyDescent="0.2">
      <c r="P195" s="139" t="s">
        <v>263</v>
      </c>
    </row>
    <row r="196" spans="16:16" x14ac:dyDescent="0.2">
      <c r="P196" s="139" t="s">
        <v>465</v>
      </c>
    </row>
    <row r="197" spans="16:16" x14ac:dyDescent="0.2">
      <c r="P197" s="139" t="s">
        <v>382</v>
      </c>
    </row>
    <row r="198" spans="16:16" x14ac:dyDescent="0.2">
      <c r="P198" s="139" t="s">
        <v>466</v>
      </c>
    </row>
    <row r="199" spans="16:16" x14ac:dyDescent="0.2">
      <c r="P199" s="139" t="s">
        <v>339</v>
      </c>
    </row>
    <row r="200" spans="16:16" x14ac:dyDescent="0.2">
      <c r="P200" s="139" t="s">
        <v>226</v>
      </c>
    </row>
    <row r="201" spans="16:16" x14ac:dyDescent="0.2">
      <c r="P201" s="139" t="s">
        <v>340</v>
      </c>
    </row>
    <row r="202" spans="16:16" x14ac:dyDescent="0.2">
      <c r="P202" s="139" t="s">
        <v>166</v>
      </c>
    </row>
    <row r="203" spans="16:16" x14ac:dyDescent="0.2">
      <c r="P203" s="139" t="s">
        <v>183</v>
      </c>
    </row>
    <row r="204" spans="16:16" x14ac:dyDescent="0.2">
      <c r="P204" s="139" t="s">
        <v>341</v>
      </c>
    </row>
    <row r="205" spans="16:16" x14ac:dyDescent="0.2">
      <c r="P205" s="139" t="s">
        <v>505</v>
      </c>
    </row>
    <row r="206" spans="16:16" x14ac:dyDescent="0.2">
      <c r="P206" s="139" t="s">
        <v>301</v>
      </c>
    </row>
    <row r="207" spans="16:16" x14ac:dyDescent="0.2">
      <c r="P207" s="139" t="s">
        <v>342</v>
      </c>
    </row>
    <row r="208" spans="16:16" x14ac:dyDescent="0.2">
      <c r="P208" s="139" t="s">
        <v>423</v>
      </c>
    </row>
    <row r="209" spans="16:16" x14ac:dyDescent="0.2">
      <c r="P209" s="139" t="s">
        <v>302</v>
      </c>
    </row>
    <row r="210" spans="16:16" x14ac:dyDescent="0.2">
      <c r="P210" s="139" t="s">
        <v>383</v>
      </c>
    </row>
    <row r="211" spans="16:16" x14ac:dyDescent="0.2">
      <c r="P211" s="139" t="s">
        <v>227</v>
      </c>
    </row>
    <row r="212" spans="16:16" x14ac:dyDescent="0.2">
      <c r="P212" s="139" t="s">
        <v>424</v>
      </c>
    </row>
    <row r="213" spans="16:16" x14ac:dyDescent="0.2">
      <c r="P213" s="139" t="s">
        <v>384</v>
      </c>
    </row>
    <row r="214" spans="16:16" x14ac:dyDescent="0.2">
      <c r="P214" s="139" t="s">
        <v>506</v>
      </c>
    </row>
    <row r="215" spans="16:16" x14ac:dyDescent="0.2">
      <c r="P215" s="139" t="s">
        <v>343</v>
      </c>
    </row>
    <row r="216" spans="16:16" x14ac:dyDescent="0.2">
      <c r="P216" s="139" t="s">
        <v>535</v>
      </c>
    </row>
    <row r="217" spans="16:16" x14ac:dyDescent="0.2">
      <c r="P217" s="139" t="s">
        <v>385</v>
      </c>
    </row>
    <row r="218" spans="16:16" x14ac:dyDescent="0.2">
      <c r="P218" s="139" t="s">
        <v>386</v>
      </c>
    </row>
    <row r="219" spans="16:16" x14ac:dyDescent="0.2">
      <c r="P219" s="139" t="s">
        <v>595</v>
      </c>
    </row>
    <row r="220" spans="16:16" x14ac:dyDescent="0.2">
      <c r="P220" s="139" t="s">
        <v>467</v>
      </c>
    </row>
    <row r="221" spans="16:16" x14ac:dyDescent="0.2">
      <c r="P221" s="139" t="s">
        <v>468</v>
      </c>
    </row>
    <row r="222" spans="16:16" x14ac:dyDescent="0.2">
      <c r="P222" s="139" t="s">
        <v>507</v>
      </c>
    </row>
    <row r="223" spans="16:16" x14ac:dyDescent="0.2">
      <c r="P223" s="139" t="s">
        <v>344</v>
      </c>
    </row>
    <row r="224" spans="16:16" x14ac:dyDescent="0.2">
      <c r="P224" s="139" t="s">
        <v>345</v>
      </c>
    </row>
    <row r="225" spans="16:16" x14ac:dyDescent="0.2">
      <c r="P225" s="139" t="s">
        <v>387</v>
      </c>
    </row>
    <row r="226" spans="16:16" x14ac:dyDescent="0.2">
      <c r="P226" s="139" t="s">
        <v>346</v>
      </c>
    </row>
    <row r="227" spans="16:16" x14ac:dyDescent="0.2">
      <c r="P227" s="139" t="s">
        <v>184</v>
      </c>
    </row>
    <row r="228" spans="16:16" x14ac:dyDescent="0.2">
      <c r="P228" s="139" t="s">
        <v>388</v>
      </c>
    </row>
    <row r="229" spans="16:16" x14ac:dyDescent="0.2">
      <c r="P229" s="139" t="s">
        <v>205</v>
      </c>
    </row>
    <row r="230" spans="16:16" x14ac:dyDescent="0.2">
      <c r="P230" s="139" t="s">
        <v>206</v>
      </c>
    </row>
    <row r="231" spans="16:16" x14ac:dyDescent="0.2">
      <c r="P231" s="139" t="s">
        <v>389</v>
      </c>
    </row>
    <row r="232" spans="16:16" x14ac:dyDescent="0.2">
      <c r="P232" s="139" t="s">
        <v>390</v>
      </c>
    </row>
    <row r="233" spans="16:16" x14ac:dyDescent="0.2">
      <c r="P233" s="139" t="s">
        <v>391</v>
      </c>
    </row>
    <row r="234" spans="16:16" x14ac:dyDescent="0.2">
      <c r="P234" s="139" t="s">
        <v>531</v>
      </c>
    </row>
    <row r="235" spans="16:16" x14ac:dyDescent="0.2">
      <c r="P235" s="139" t="s">
        <v>508</v>
      </c>
    </row>
    <row r="236" spans="16:16" x14ac:dyDescent="0.2">
      <c r="P236" s="139" t="s">
        <v>303</v>
      </c>
    </row>
    <row r="237" spans="16:16" x14ac:dyDescent="0.2">
      <c r="P237" s="139" t="s">
        <v>264</v>
      </c>
    </row>
    <row r="238" spans="16:16" x14ac:dyDescent="0.2">
      <c r="P238" s="139" t="s">
        <v>265</v>
      </c>
    </row>
    <row r="239" spans="16:16" x14ac:dyDescent="0.2">
      <c r="P239" s="139" t="s">
        <v>392</v>
      </c>
    </row>
    <row r="240" spans="16:16" x14ac:dyDescent="0.2">
      <c r="P240" s="139" t="s">
        <v>207</v>
      </c>
    </row>
    <row r="241" spans="16:16" x14ac:dyDescent="0.2">
      <c r="P241" s="139" t="s">
        <v>266</v>
      </c>
    </row>
    <row r="242" spans="16:16" x14ac:dyDescent="0.2">
      <c r="P242" s="139" t="s">
        <v>469</v>
      </c>
    </row>
    <row r="243" spans="16:16" x14ac:dyDescent="0.2">
      <c r="P243" s="139" t="s">
        <v>304</v>
      </c>
    </row>
    <row r="244" spans="16:16" x14ac:dyDescent="0.2">
      <c r="P244" s="139" t="s">
        <v>185</v>
      </c>
    </row>
    <row r="245" spans="16:16" x14ac:dyDescent="0.2">
      <c r="P245" s="139" t="s">
        <v>228</v>
      </c>
    </row>
    <row r="246" spans="16:16" x14ac:dyDescent="0.2">
      <c r="P246" s="139" t="s">
        <v>267</v>
      </c>
    </row>
    <row r="247" spans="16:16" x14ac:dyDescent="0.2">
      <c r="P247" s="139" t="s">
        <v>509</v>
      </c>
    </row>
    <row r="248" spans="16:16" x14ac:dyDescent="0.2">
      <c r="P248" s="139" t="s">
        <v>393</v>
      </c>
    </row>
    <row r="249" spans="16:16" x14ac:dyDescent="0.2">
      <c r="P249" s="139" t="s">
        <v>510</v>
      </c>
    </row>
    <row r="250" spans="16:16" x14ac:dyDescent="0.2">
      <c r="P250" s="139" t="s">
        <v>186</v>
      </c>
    </row>
    <row r="251" spans="16:16" x14ac:dyDescent="0.2">
      <c r="P251" s="139" t="s">
        <v>347</v>
      </c>
    </row>
    <row r="252" spans="16:16" x14ac:dyDescent="0.2">
      <c r="P252" s="139" t="s">
        <v>511</v>
      </c>
    </row>
    <row r="253" spans="16:16" x14ac:dyDescent="0.2">
      <c r="P253" s="139" t="s">
        <v>876</v>
      </c>
    </row>
    <row r="254" spans="16:16" x14ac:dyDescent="0.2">
      <c r="P254" s="139" t="s">
        <v>208</v>
      </c>
    </row>
    <row r="255" spans="16:16" x14ac:dyDescent="0.2">
      <c r="P255" s="139" t="s">
        <v>187</v>
      </c>
    </row>
    <row r="256" spans="16:16" x14ac:dyDescent="0.2">
      <c r="P256" s="139" t="s">
        <v>167</v>
      </c>
    </row>
    <row r="257" spans="16:16" x14ac:dyDescent="0.2">
      <c r="P257" s="139" t="s">
        <v>425</v>
      </c>
    </row>
    <row r="258" spans="16:16" x14ac:dyDescent="0.2">
      <c r="P258" s="139" t="s">
        <v>394</v>
      </c>
    </row>
    <row r="259" spans="16:16" x14ac:dyDescent="0.2">
      <c r="P259" s="139" t="s">
        <v>168</v>
      </c>
    </row>
    <row r="260" spans="16:16" x14ac:dyDescent="0.2">
      <c r="P260" s="139" t="s">
        <v>470</v>
      </c>
    </row>
    <row r="261" spans="16:16" x14ac:dyDescent="0.2">
      <c r="P261" s="139" t="s">
        <v>471</v>
      </c>
    </row>
    <row r="262" spans="16:16" x14ac:dyDescent="0.2">
      <c r="P262" s="139" t="s">
        <v>395</v>
      </c>
    </row>
    <row r="263" spans="16:16" x14ac:dyDescent="0.2">
      <c r="P263" s="139" t="s">
        <v>268</v>
      </c>
    </row>
    <row r="264" spans="16:16" x14ac:dyDescent="0.2">
      <c r="P264" s="139" t="s">
        <v>541</v>
      </c>
    </row>
    <row r="265" spans="16:16" x14ac:dyDescent="0.2">
      <c r="P265" s="139" t="s">
        <v>512</v>
      </c>
    </row>
    <row r="266" spans="16:16" x14ac:dyDescent="0.2">
      <c r="P266" s="139" t="s">
        <v>269</v>
      </c>
    </row>
    <row r="267" spans="16:16" x14ac:dyDescent="0.2">
      <c r="P267" s="139" t="s">
        <v>513</v>
      </c>
    </row>
    <row r="268" spans="16:16" x14ac:dyDescent="0.2">
      <c r="P268" s="139" t="s">
        <v>270</v>
      </c>
    </row>
    <row r="269" spans="16:16" x14ac:dyDescent="0.2">
      <c r="P269" s="139" t="s">
        <v>305</v>
      </c>
    </row>
    <row r="270" spans="16:16" x14ac:dyDescent="0.2">
      <c r="P270" s="139" t="s">
        <v>396</v>
      </c>
    </row>
    <row r="271" spans="16:16" x14ac:dyDescent="0.2">
      <c r="P271" s="139" t="s">
        <v>271</v>
      </c>
    </row>
    <row r="272" spans="16:16" x14ac:dyDescent="0.2">
      <c r="P272" s="139" t="s">
        <v>272</v>
      </c>
    </row>
    <row r="273" spans="16:16" x14ac:dyDescent="0.2">
      <c r="P273" s="139" t="s">
        <v>596</v>
      </c>
    </row>
    <row r="274" spans="16:16" x14ac:dyDescent="0.2">
      <c r="P274" s="139" t="s">
        <v>426</v>
      </c>
    </row>
    <row r="275" spans="16:16" x14ac:dyDescent="0.2">
      <c r="P275" s="139" t="s">
        <v>169</v>
      </c>
    </row>
    <row r="276" spans="16:16" x14ac:dyDescent="0.2">
      <c r="P276" s="139" t="s">
        <v>532</v>
      </c>
    </row>
    <row r="277" spans="16:16" x14ac:dyDescent="0.2">
      <c r="P277" s="139" t="s">
        <v>397</v>
      </c>
    </row>
    <row r="278" spans="16:16" x14ac:dyDescent="0.2">
      <c r="P278" s="139" t="s">
        <v>398</v>
      </c>
    </row>
    <row r="279" spans="16:16" x14ac:dyDescent="0.2">
      <c r="P279" s="139" t="s">
        <v>536</v>
      </c>
    </row>
    <row r="280" spans="16:16" x14ac:dyDescent="0.2">
      <c r="P280" s="139" t="s">
        <v>273</v>
      </c>
    </row>
    <row r="281" spans="16:16" x14ac:dyDescent="0.2">
      <c r="P281" s="139" t="s">
        <v>514</v>
      </c>
    </row>
    <row r="282" spans="16:16" x14ac:dyDescent="0.2">
      <c r="P282" s="139" t="s">
        <v>399</v>
      </c>
    </row>
    <row r="283" spans="16:16" x14ac:dyDescent="0.2">
      <c r="P283" s="139" t="s">
        <v>472</v>
      </c>
    </row>
    <row r="284" spans="16:16" x14ac:dyDescent="0.2">
      <c r="P284" s="139" t="s">
        <v>473</v>
      </c>
    </row>
    <row r="285" spans="16:16" x14ac:dyDescent="0.2">
      <c r="P285" s="139" t="s">
        <v>188</v>
      </c>
    </row>
    <row r="286" spans="16:16" x14ac:dyDescent="0.2">
      <c r="P286" s="139" t="s">
        <v>274</v>
      </c>
    </row>
    <row r="287" spans="16:16" x14ac:dyDescent="0.2">
      <c r="P287" s="139" t="s">
        <v>229</v>
      </c>
    </row>
    <row r="288" spans="16:16" x14ac:dyDescent="0.2">
      <c r="P288" s="139" t="s">
        <v>230</v>
      </c>
    </row>
    <row r="289" spans="16:16" x14ac:dyDescent="0.2">
      <c r="P289" s="139" t="s">
        <v>231</v>
      </c>
    </row>
    <row r="290" spans="16:16" x14ac:dyDescent="0.2">
      <c r="P290" s="139" t="s">
        <v>515</v>
      </c>
    </row>
    <row r="291" spans="16:16" x14ac:dyDescent="0.2">
      <c r="P291" s="139" t="s">
        <v>275</v>
      </c>
    </row>
    <row r="292" spans="16:16" x14ac:dyDescent="0.2">
      <c r="P292" s="139" t="s">
        <v>474</v>
      </c>
    </row>
    <row r="293" spans="16:16" x14ac:dyDescent="0.2">
      <c r="P293" s="139" t="s">
        <v>209</v>
      </c>
    </row>
    <row r="294" spans="16:16" x14ac:dyDescent="0.2">
      <c r="P294" s="139" t="s">
        <v>348</v>
      </c>
    </row>
    <row r="295" spans="16:16" x14ac:dyDescent="0.2">
      <c r="P295" s="139" t="s">
        <v>349</v>
      </c>
    </row>
    <row r="296" spans="16:16" x14ac:dyDescent="0.2">
      <c r="P296" s="139" t="s">
        <v>210</v>
      </c>
    </row>
    <row r="297" spans="16:16" x14ac:dyDescent="0.2">
      <c r="P297" s="139" t="s">
        <v>475</v>
      </c>
    </row>
    <row r="298" spans="16:16" x14ac:dyDescent="0.2">
      <c r="P298" s="139" t="s">
        <v>400</v>
      </c>
    </row>
    <row r="299" spans="16:16" x14ac:dyDescent="0.2">
      <c r="P299" s="139" t="s">
        <v>276</v>
      </c>
    </row>
    <row r="300" spans="16:16" x14ac:dyDescent="0.2">
      <c r="P300" s="139" t="s">
        <v>350</v>
      </c>
    </row>
    <row r="301" spans="16:16" x14ac:dyDescent="0.2">
      <c r="P301" s="139" t="s">
        <v>306</v>
      </c>
    </row>
    <row r="302" spans="16:16" x14ac:dyDescent="0.2">
      <c r="P302" s="139" t="s">
        <v>277</v>
      </c>
    </row>
    <row r="303" spans="16:16" x14ac:dyDescent="0.2">
      <c r="P303" s="139" t="s">
        <v>401</v>
      </c>
    </row>
    <row r="304" spans="16:16" x14ac:dyDescent="0.2">
      <c r="P304" s="139" t="s">
        <v>516</v>
      </c>
    </row>
    <row r="305" spans="16:16" x14ac:dyDescent="0.2">
      <c r="P305" s="139" t="s">
        <v>189</v>
      </c>
    </row>
    <row r="306" spans="16:16" x14ac:dyDescent="0.2">
      <c r="P306" s="139" t="s">
        <v>402</v>
      </c>
    </row>
    <row r="307" spans="16:16" x14ac:dyDescent="0.2">
      <c r="P307" s="139" t="s">
        <v>351</v>
      </c>
    </row>
    <row r="308" spans="16:16" x14ac:dyDescent="0.2">
      <c r="P308" s="139" t="s">
        <v>278</v>
      </c>
    </row>
    <row r="309" spans="16:16" x14ac:dyDescent="0.2">
      <c r="P309" s="139" t="s">
        <v>232</v>
      </c>
    </row>
    <row r="310" spans="16:16" x14ac:dyDescent="0.2">
      <c r="P310" s="139" t="s">
        <v>427</v>
      </c>
    </row>
    <row r="311" spans="16:16" x14ac:dyDescent="0.2">
      <c r="P311" s="139" t="s">
        <v>279</v>
      </c>
    </row>
    <row r="312" spans="16:16" x14ac:dyDescent="0.2">
      <c r="P312" s="139" t="s">
        <v>307</v>
      </c>
    </row>
    <row r="313" spans="16:16" x14ac:dyDescent="0.2">
      <c r="P313" s="139" t="s">
        <v>476</v>
      </c>
    </row>
    <row r="314" spans="16:16" x14ac:dyDescent="0.2">
      <c r="P314" s="139" t="s">
        <v>280</v>
      </c>
    </row>
    <row r="315" spans="16:16" x14ac:dyDescent="0.2">
      <c r="P315" s="139" t="s">
        <v>308</v>
      </c>
    </row>
    <row r="316" spans="16:16" x14ac:dyDescent="0.2">
      <c r="P316" s="139" t="s">
        <v>403</v>
      </c>
    </row>
    <row r="317" spans="16:16" x14ac:dyDescent="0.2">
      <c r="P317" s="139" t="s">
        <v>281</v>
      </c>
    </row>
    <row r="318" spans="16:16" x14ac:dyDescent="0.2">
      <c r="P318" s="139" t="s">
        <v>233</v>
      </c>
    </row>
    <row r="319" spans="16:16" x14ac:dyDescent="0.2">
      <c r="P319" s="139" t="s">
        <v>404</v>
      </c>
    </row>
    <row r="320" spans="16:16" x14ac:dyDescent="0.2">
      <c r="P320" s="139" t="s">
        <v>517</v>
      </c>
    </row>
    <row r="321" spans="16:16" x14ac:dyDescent="0.2">
      <c r="P321" s="139" t="s">
        <v>518</v>
      </c>
    </row>
    <row r="322" spans="16:16" x14ac:dyDescent="0.2">
      <c r="P322" s="139" t="s">
        <v>477</v>
      </c>
    </row>
    <row r="323" spans="16:16" x14ac:dyDescent="0.2">
      <c r="P323" s="139" t="s">
        <v>405</v>
      </c>
    </row>
    <row r="324" spans="16:16" x14ac:dyDescent="0.2">
      <c r="P324" s="139" t="s">
        <v>282</v>
      </c>
    </row>
    <row r="325" spans="16:16" x14ac:dyDescent="0.2">
      <c r="P325" s="139" t="s">
        <v>478</v>
      </c>
    </row>
    <row r="326" spans="16:16" x14ac:dyDescent="0.2">
      <c r="P326" s="139" t="s">
        <v>352</v>
      </c>
    </row>
    <row r="327" spans="16:16" x14ac:dyDescent="0.2">
      <c r="P327" s="139" t="s">
        <v>283</v>
      </c>
    </row>
    <row r="328" spans="16:16" x14ac:dyDescent="0.2">
      <c r="P328" s="139" t="s">
        <v>406</v>
      </c>
    </row>
    <row r="329" spans="16:16" x14ac:dyDescent="0.2">
      <c r="P329" s="139" t="s">
        <v>211</v>
      </c>
    </row>
    <row r="330" spans="16:16" x14ac:dyDescent="0.2">
      <c r="P330" s="139" t="s">
        <v>519</v>
      </c>
    </row>
    <row r="331" spans="16:16" x14ac:dyDescent="0.2">
      <c r="P331" s="139" t="s">
        <v>428</v>
      </c>
    </row>
    <row r="332" spans="16:16" x14ac:dyDescent="0.2">
      <c r="P332" s="139" t="s">
        <v>546</v>
      </c>
    </row>
    <row r="333" spans="16:16" x14ac:dyDescent="0.2">
      <c r="P333" s="139" t="s">
        <v>597</v>
      </c>
    </row>
    <row r="334" spans="16:16" x14ac:dyDescent="0.2">
      <c r="P334" s="139" t="s">
        <v>520</v>
      </c>
    </row>
    <row r="335" spans="16:16" x14ac:dyDescent="0.2">
      <c r="P335" s="139" t="s">
        <v>542</v>
      </c>
    </row>
    <row r="336" spans="16:16" x14ac:dyDescent="0.2">
      <c r="P336" s="139" t="s">
        <v>480</v>
      </c>
    </row>
    <row r="337" spans="16:16" x14ac:dyDescent="0.2">
      <c r="P337" s="139" t="s">
        <v>521</v>
      </c>
    </row>
    <row r="338" spans="16:16" x14ac:dyDescent="0.2">
      <c r="P338" s="139" t="s">
        <v>407</v>
      </c>
    </row>
    <row r="339" spans="16:16" x14ac:dyDescent="0.2">
      <c r="P339" s="139" t="s">
        <v>190</v>
      </c>
    </row>
    <row r="340" spans="16:16" x14ac:dyDescent="0.2">
      <c r="P340" s="139" t="s">
        <v>429</v>
      </c>
    </row>
    <row r="341" spans="16:16" x14ac:dyDescent="0.2">
      <c r="P341" s="139" t="s">
        <v>212</v>
      </c>
    </row>
    <row r="342" spans="16:16" x14ac:dyDescent="0.2">
      <c r="P342" s="139" t="s">
        <v>309</v>
      </c>
    </row>
    <row r="343" spans="16:16" x14ac:dyDescent="0.2">
      <c r="P343" s="139" t="s">
        <v>482</v>
      </c>
    </row>
    <row r="344" spans="16:16" x14ac:dyDescent="0.2">
      <c r="P344" s="139" t="s">
        <v>483</v>
      </c>
    </row>
    <row r="345" spans="16:16" x14ac:dyDescent="0.2">
      <c r="P345" s="139" t="s">
        <v>191</v>
      </c>
    </row>
    <row r="346" spans="16:16" x14ac:dyDescent="0.2">
      <c r="P346" s="139" t="s">
        <v>234</v>
      </c>
    </row>
    <row r="347" spans="16:16" x14ac:dyDescent="0.2">
      <c r="P347" s="139" t="s">
        <v>353</v>
      </c>
    </row>
    <row r="348" spans="16:16" x14ac:dyDescent="0.2">
      <c r="P348" s="139" t="s">
        <v>484</v>
      </c>
    </row>
    <row r="349" spans="16:16" x14ac:dyDescent="0.2">
      <c r="P349" s="139" t="s">
        <v>235</v>
      </c>
    </row>
    <row r="350" spans="16:16" x14ac:dyDescent="0.2">
      <c r="P350" s="139" t="s">
        <v>522</v>
      </c>
    </row>
    <row r="351" spans="16:16" x14ac:dyDescent="0.2">
      <c r="P351" s="139" t="s">
        <v>310</v>
      </c>
    </row>
    <row r="352" spans="16:16" x14ac:dyDescent="0.2">
      <c r="P352" s="139" t="s">
        <v>408</v>
      </c>
    </row>
    <row r="353" spans="16:16" x14ac:dyDescent="0.2">
      <c r="P353" s="139" t="s">
        <v>543</v>
      </c>
    </row>
    <row r="354" spans="16:16" x14ac:dyDescent="0.2">
      <c r="P354" s="139" t="s">
        <v>192</v>
      </c>
    </row>
    <row r="355" spans="16:16" x14ac:dyDescent="0.2">
      <c r="P355" s="139" t="s">
        <v>430</v>
      </c>
    </row>
    <row r="356" spans="16:16" x14ac:dyDescent="0.2">
      <c r="P356" s="139" t="s">
        <v>213</v>
      </c>
    </row>
    <row r="357" spans="16:16" x14ac:dyDescent="0.2">
      <c r="P357" s="139" t="s">
        <v>354</v>
      </c>
    </row>
    <row r="358" spans="16:16" x14ac:dyDescent="0.2">
      <c r="P358" s="139" t="s">
        <v>409</v>
      </c>
    </row>
    <row r="359" spans="16:16" x14ac:dyDescent="0.2">
      <c r="P359" s="139" t="s">
        <v>431</v>
      </c>
    </row>
    <row r="360" spans="16:16" x14ac:dyDescent="0.2">
      <c r="P360" s="139" t="s">
        <v>284</v>
      </c>
    </row>
    <row r="361" spans="16:16" x14ac:dyDescent="0.2">
      <c r="P361" s="139" t="s">
        <v>485</v>
      </c>
    </row>
    <row r="362" spans="16:16" x14ac:dyDescent="0.2">
      <c r="P362" s="139" t="s">
        <v>236</v>
      </c>
    </row>
    <row r="363" spans="16:16" x14ac:dyDescent="0.2">
      <c r="P363" s="139" t="s">
        <v>237</v>
      </c>
    </row>
    <row r="364" spans="16:16" x14ac:dyDescent="0.2">
      <c r="P364" s="139" t="s">
        <v>170</v>
      </c>
    </row>
    <row r="365" spans="16:16" x14ac:dyDescent="0.2">
      <c r="P365" s="139" t="s">
        <v>214</v>
      </c>
    </row>
    <row r="366" spans="16:16" x14ac:dyDescent="0.2">
      <c r="P366" s="139" t="s">
        <v>486</v>
      </c>
    </row>
    <row r="367" spans="16:16" x14ac:dyDescent="0.2">
      <c r="P367" s="139" t="s">
        <v>355</v>
      </c>
    </row>
    <row r="368" spans="16:16" x14ac:dyDescent="0.2">
      <c r="P368" s="139" t="s">
        <v>356</v>
      </c>
    </row>
    <row r="369" spans="16:16" x14ac:dyDescent="0.2">
      <c r="P369" s="139" t="s">
        <v>533</v>
      </c>
    </row>
    <row r="370" spans="16:16" x14ac:dyDescent="0.2">
      <c r="P370" s="139" t="s">
        <v>311</v>
      </c>
    </row>
    <row r="371" spans="16:16" x14ac:dyDescent="0.2">
      <c r="P371" s="139" t="s">
        <v>312</v>
      </c>
    </row>
    <row r="372" spans="16:16" x14ac:dyDescent="0.2">
      <c r="P372" s="139" t="s">
        <v>523</v>
      </c>
    </row>
    <row r="373" spans="16:16" x14ac:dyDescent="0.2">
      <c r="P373" s="139" t="s">
        <v>524</v>
      </c>
    </row>
    <row r="374" spans="16:16" x14ac:dyDescent="0.2">
      <c r="P374" s="139" t="s">
        <v>487</v>
      </c>
    </row>
    <row r="375" spans="16:16" x14ac:dyDescent="0.2">
      <c r="P375" s="139" t="s">
        <v>193</v>
      </c>
    </row>
    <row r="376" spans="16:16" x14ac:dyDescent="0.2">
      <c r="P376" s="139" t="s">
        <v>313</v>
      </c>
    </row>
    <row r="377" spans="16:16" x14ac:dyDescent="0.2">
      <c r="P377" s="139" t="s">
        <v>432</v>
      </c>
    </row>
    <row r="378" spans="16:16" x14ac:dyDescent="0.2">
      <c r="P378" s="139" t="s">
        <v>489</v>
      </c>
    </row>
    <row r="379" spans="16:16" x14ac:dyDescent="0.2">
      <c r="P379" s="139" t="s">
        <v>357</v>
      </c>
    </row>
    <row r="380" spans="16:16" x14ac:dyDescent="0.2">
      <c r="P380" s="139" t="s">
        <v>525</v>
      </c>
    </row>
    <row r="381" spans="16:16" x14ac:dyDescent="0.2">
      <c r="P381" s="139" t="s">
        <v>526</v>
      </c>
    </row>
    <row r="382" spans="16:16" x14ac:dyDescent="0.2">
      <c r="P382" s="139" t="s">
        <v>314</v>
      </c>
    </row>
    <row r="383" spans="16:16" x14ac:dyDescent="0.2">
      <c r="P383" s="139" t="s">
        <v>410</v>
      </c>
    </row>
    <row r="384" spans="16:16" x14ac:dyDescent="0.2">
      <c r="P384" s="139" t="s">
        <v>194</v>
      </c>
    </row>
    <row r="385" spans="16:16" x14ac:dyDescent="0.2">
      <c r="P385" s="139" t="s">
        <v>215</v>
      </c>
    </row>
    <row r="386" spans="16:16" x14ac:dyDescent="0.2">
      <c r="P386" s="139" t="s">
        <v>433</v>
      </c>
    </row>
    <row r="387" spans="16:16" x14ac:dyDescent="0.2">
      <c r="P387" s="139" t="s">
        <v>527</v>
      </c>
    </row>
    <row r="388" spans="16:16" x14ac:dyDescent="0.2">
      <c r="P388" s="139" t="s">
        <v>411</v>
      </c>
    </row>
    <row r="389" spans="16:16" x14ac:dyDescent="0.2">
      <c r="P389" s="139" t="s">
        <v>285</v>
      </c>
    </row>
    <row r="390" spans="16:16" x14ac:dyDescent="0.2">
      <c r="P390" s="139" t="s">
        <v>490</v>
      </c>
    </row>
    <row r="391" spans="16:16" x14ac:dyDescent="0.2">
      <c r="P391" s="139" t="s">
        <v>491</v>
      </c>
    </row>
    <row r="392" spans="16:16" x14ac:dyDescent="0.2">
      <c r="P392" s="139" t="s">
        <v>492</v>
      </c>
    </row>
    <row r="393" spans="16:16" x14ac:dyDescent="0.2">
      <c r="P393" s="139" t="s">
        <v>412</v>
      </c>
    </row>
    <row r="394" spans="16:16" x14ac:dyDescent="0.2">
      <c r="P394" s="139" t="s">
        <v>286</v>
      </c>
    </row>
    <row r="395" spans="16:16" x14ac:dyDescent="0.2">
      <c r="P395" s="139" t="s">
        <v>413</v>
      </c>
    </row>
    <row r="396" spans="16:16" x14ac:dyDescent="0.2">
      <c r="P396" s="139" t="s">
        <v>358</v>
      </c>
    </row>
    <row r="397" spans="16:16" x14ac:dyDescent="0.2">
      <c r="P397" s="139" t="s">
        <v>528</v>
      </c>
    </row>
    <row r="398" spans="16:16" x14ac:dyDescent="0.2">
      <c r="P398" s="139" t="s">
        <v>359</v>
      </c>
    </row>
    <row r="399" spans="16:16" x14ac:dyDescent="0.2">
      <c r="P399" s="139" t="s">
        <v>493</v>
      </c>
    </row>
    <row r="400" spans="16:16" x14ac:dyDescent="0.2">
      <c r="P400" s="139" t="s">
        <v>287</v>
      </c>
    </row>
    <row r="401" spans="16:16" x14ac:dyDescent="0.2">
      <c r="P401" s="139" t="s">
        <v>171</v>
      </c>
    </row>
    <row r="402" spans="16:16" x14ac:dyDescent="0.2">
      <c r="P402" s="139" t="s">
        <v>288</v>
      </c>
    </row>
    <row r="403" spans="16:16" x14ac:dyDescent="0.2">
      <c r="P403" s="139" t="s">
        <v>414</v>
      </c>
    </row>
    <row r="404" spans="16:16" x14ac:dyDescent="0.2">
      <c r="P404" s="139" t="s">
        <v>216</v>
      </c>
    </row>
    <row r="405" spans="16:16" x14ac:dyDescent="0.2">
      <c r="P405" s="139" t="s">
        <v>415</v>
      </c>
    </row>
    <row r="406" spans="16:16" x14ac:dyDescent="0.2">
      <c r="P406" s="139" t="s">
        <v>238</v>
      </c>
    </row>
    <row r="407" spans="16:16" x14ac:dyDescent="0.2">
      <c r="P407" s="139" t="s">
        <v>289</v>
      </c>
    </row>
    <row r="408" spans="16:16" x14ac:dyDescent="0.2">
      <c r="P408" s="139" t="s">
        <v>360</v>
      </c>
    </row>
    <row r="409" spans="16:16" x14ac:dyDescent="0.2">
      <c r="P409" s="139" t="s">
        <v>315</v>
      </c>
    </row>
    <row r="410" spans="16:16" x14ac:dyDescent="0.2">
      <c r="P410" s="139" t="s">
        <v>195</v>
      </c>
    </row>
    <row r="411" spans="16:16" x14ac:dyDescent="0.2">
      <c r="P411" s="139" t="s">
        <v>290</v>
      </c>
    </row>
    <row r="412" spans="16:16" x14ac:dyDescent="0.2">
      <c r="P412" s="139" t="s">
        <v>494</v>
      </c>
    </row>
    <row r="413" spans="16:16" x14ac:dyDescent="0.2">
      <c r="P413" s="139" t="s">
        <v>316</v>
      </c>
    </row>
    <row r="414" spans="16:16" x14ac:dyDescent="0.2">
      <c r="P414" s="139" t="s">
        <v>361</v>
      </c>
    </row>
    <row r="415" spans="16:16" x14ac:dyDescent="0.2">
      <c r="P415" s="139" t="s">
        <v>317</v>
      </c>
    </row>
    <row r="416" spans="16:16" x14ac:dyDescent="0.2">
      <c r="P416" s="139" t="s">
        <v>495</v>
      </c>
    </row>
    <row r="417" spans="16:16" x14ac:dyDescent="0.2">
      <c r="P417" s="139" t="s">
        <v>362</v>
      </c>
    </row>
    <row r="418" spans="16:16" x14ac:dyDescent="0.2">
      <c r="P418" s="139" t="s">
        <v>291</v>
      </c>
    </row>
    <row r="419" spans="16:16" x14ac:dyDescent="0.2">
      <c r="P419" s="139" t="s">
        <v>363</v>
      </c>
    </row>
    <row r="420" spans="16:16" x14ac:dyDescent="0.2">
      <c r="P420" s="139" t="s">
        <v>416</v>
      </c>
    </row>
    <row r="421" spans="16:16" x14ac:dyDescent="0.2">
      <c r="P421" s="139" t="s">
        <v>534</v>
      </c>
    </row>
    <row r="422" spans="16:16" x14ac:dyDescent="0.2">
      <c r="P422" s="139" t="s">
        <v>318</v>
      </c>
    </row>
    <row r="423" spans="16:16" x14ac:dyDescent="0.2">
      <c r="P423" s="139" t="s">
        <v>292</v>
      </c>
    </row>
    <row r="424" spans="16:16" x14ac:dyDescent="0.2">
      <c r="P424" s="139" t="s">
        <v>417</v>
      </c>
    </row>
    <row r="425" spans="16:16" x14ac:dyDescent="0.2">
      <c r="P425" s="139" t="s">
        <v>418</v>
      </c>
    </row>
    <row r="426" spans="16:16" x14ac:dyDescent="0.2">
      <c r="P426" s="139" t="s">
        <v>196</v>
      </c>
    </row>
    <row r="427" spans="16:16" x14ac:dyDescent="0.2">
      <c r="P427" s="139" t="s">
        <v>419</v>
      </c>
    </row>
    <row r="428" spans="16:16" x14ac:dyDescent="0.2">
      <c r="P428" s="139" t="s">
        <v>496</v>
      </c>
    </row>
    <row r="429" spans="16:16" x14ac:dyDescent="0.2">
      <c r="P429" s="139" t="s">
        <v>293</v>
      </c>
    </row>
    <row r="430" spans="16:16" x14ac:dyDescent="0.2">
      <c r="P430" s="139" t="s">
        <v>239</v>
      </c>
    </row>
    <row r="431" spans="16:16" x14ac:dyDescent="0.2">
      <c r="P431" s="139" t="s">
        <v>420</v>
      </c>
    </row>
    <row r="432" spans="16:16" x14ac:dyDescent="0.2">
      <c r="P432" s="139" t="s">
        <v>240</v>
      </c>
    </row>
    <row r="433" spans="16:16" x14ac:dyDescent="0.2">
      <c r="P433" s="139" t="s">
        <v>545</v>
      </c>
    </row>
    <row r="434" spans="16:16" x14ac:dyDescent="0.2">
      <c r="P434" s="139" t="s">
        <v>703</v>
      </c>
    </row>
    <row r="435" spans="16:16" x14ac:dyDescent="0.2">
      <c r="P435" s="139" t="s">
        <v>598</v>
      </c>
    </row>
    <row r="436" spans="16:16" x14ac:dyDescent="0.2">
      <c r="P436" s="139" t="s">
        <v>704</v>
      </c>
    </row>
    <row r="437" spans="16:16" x14ac:dyDescent="0.2">
      <c r="P437" s="139" t="s">
        <v>705</v>
      </c>
    </row>
    <row r="438" spans="16:16" x14ac:dyDescent="0.2">
      <c r="P438" s="139" t="s">
        <v>706</v>
      </c>
    </row>
    <row r="439" spans="16:16" x14ac:dyDescent="0.2">
      <c r="P439" s="139" t="s">
        <v>707</v>
      </c>
    </row>
    <row r="440" spans="16:16" x14ac:dyDescent="0.2">
      <c r="P440" s="139" t="s">
        <v>716</v>
      </c>
    </row>
    <row r="441" spans="16:16" x14ac:dyDescent="0.2">
      <c r="P441" s="139" t="s">
        <v>708</v>
      </c>
    </row>
    <row r="442" spans="16:16" x14ac:dyDescent="0.2">
      <c r="P442" s="139" t="s">
        <v>709</v>
      </c>
    </row>
    <row r="443" spans="16:16" x14ac:dyDescent="0.2">
      <c r="P443" s="139" t="s">
        <v>710</v>
      </c>
    </row>
    <row r="444" spans="16:16" x14ac:dyDescent="0.2">
      <c r="P444" s="139" t="s">
        <v>711</v>
      </c>
    </row>
    <row r="445" spans="16:16" x14ac:dyDescent="0.2">
      <c r="P445" s="139" t="s">
        <v>712</v>
      </c>
    </row>
  </sheetData>
  <sheetProtection algorithmName="SHA-512" hashValue="CQG9VQdeWcb3bBeiiKhQTIsdUUplhoKPGps3KNPeET/6PWvfG8mMbhuscE/k14/7Zc8QVPwwnk1EO1rZ8NMQDg==" saltValue="k5byOHfEbmrJoPMpNjE6xw==" spinCount="100000" sheet="1" scenarios="1" selectLockedCells="1"/>
  <dataConsolidate/>
  <mergeCells count="3">
    <mergeCell ref="E2:F2"/>
    <mergeCell ref="A3:B3"/>
    <mergeCell ref="A1:B1"/>
  </mergeCells>
  <conditionalFormatting sqref="X29">
    <cfRule type="cellIs" dxfId="638" priority="1" operator="greaterThan">
      <formula>1.3</formula>
    </cfRule>
  </conditionalFormatting>
  <dataValidations count="10">
    <dataValidation type="list" allowBlank="1" showInputMessage="1" showErrorMessage="1" promptTitle="Scenario" prompt="Met het scrolmenu kunt u kiezen uit drie scenario's. Trend is het nul scenario. Slechtweer is het vast ingestelde slechtweerscenario. Op de stand handmatig kan zelf een scenario onder de kolom handmatig worden gedefinieerd." sqref="G2">
      <formula1>"Trend,Slechtweer,Handmatig"</formula1>
    </dataValidation>
    <dataValidation allowBlank="1" showInputMessage="1" showErrorMessage="1" promptTitle="Onbenutte belastingcapaciteit" prompt="Het bedrag is een schatting op basis van begrotingsjaar 2015. Schrijf bij een afwijking van betekenis de formule over met het bedrag aan onbenutte belastingcapaciteit OZB in 2016 volgens de artikel 12 toelatingsnormen. " sqref="G15"/>
    <dataValidation allowBlank="1" showInputMessage="1" showErrorMessage="1" promptTitle="Bepalen houdbaarheidstekort" prompt="Als alles is ingevuld, bepaal dan hier het houdbaarheidstekort. Pas percentage aan zodat de netto schuldquote na 2023 licht daalt.       " sqref="G17"/>
    <dataValidation allowBlank="1" showInputMessage="1" showErrorMessage="1" promptTitle="Investeringsvolume" prompt="Hier kan de gemiddelde investeringsruimte vanaf 2017 voor de scenario's Handmatig en Slechtweer worden aangepast. Bij een positief percentage wordt de investeringsruimte kleiner. Bij een negatief percentage groter. " sqref="I19"/>
    <dataValidation allowBlank="1" showInputMessage="1" showErrorMessage="1" promptTitle="Traief OZB woningen" prompt="Vul hier het percentage in van het belastingtarief 2017 OZB woning eigenaar." sqref="C18"/>
    <dataValidation allowBlank="1" showInputMessage="1" showErrorMessage="1" promptTitle="Rente liquide middelen" prompt="Voer hier het actuele percentage in van de rentevergoeding op banktegoeden en kortlopende uitzettingen." sqref="C14"/>
    <dataValidation allowBlank="1" showInputMessage="1" showErrorMessage="1" promptTitle="Rente kortlopende schuld" prompt="Vul hier het actuele percentage in van de rente op kortlopende schulden.  " sqref="C15"/>
    <dataValidation allowBlank="1" showInputMessage="1" showErrorMessage="1" promptTitle="Tarief OZB niet woning eigenaar" prompt="Vul hier het percentage in van het belastingtarief 2017 OZB niet-woning eigenaar." sqref="C19"/>
    <dataValidation allowBlank="1" showInputMessage="1" showErrorMessage="1" promptTitle="Tarief OZB niet-woning gebruiker" prompt="Vul hier het percentage in van het belastingtarief 2017 OZB niet-woning gebruiker. " sqref="C20"/>
    <dataValidation type="list" allowBlank="1" showInputMessage="1" showErrorMessage="1" promptTitle="Selecteer gemeentenaam" prompt="Selecteer met het scrolmenu de gemeentenaam " sqref="C2">
      <formula1>$P$45:$P$433</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75" zoomScaleNormal="75" workbookViewId="0">
      <selection activeCell="F8" sqref="F8"/>
    </sheetView>
  </sheetViews>
  <sheetFormatPr defaultColWidth="9.140625" defaultRowHeight="12.75" x14ac:dyDescent="0.2"/>
  <cols>
    <col min="1" max="1" width="38.7109375" style="16" bestFit="1" customWidth="1"/>
    <col min="2" max="2" width="21" style="16" customWidth="1"/>
    <col min="3" max="3" width="18.5703125" style="16" customWidth="1"/>
    <col min="4" max="4" width="9.140625" style="16"/>
    <col min="5" max="5" width="50.42578125" style="16" bestFit="1" customWidth="1"/>
    <col min="6" max="6" width="19" style="16" customWidth="1"/>
    <col min="7" max="7" width="20.5703125" style="16" customWidth="1"/>
    <col min="8" max="16384" width="9.140625" style="16"/>
  </cols>
  <sheetData>
    <row r="1" spans="1:7" ht="13.15" x14ac:dyDescent="0.25">
      <c r="A1" s="52" t="s">
        <v>135</v>
      </c>
      <c r="B1" s="66">
        <f>Macrogegevens!C1</f>
        <v>2017</v>
      </c>
      <c r="C1" s="66"/>
      <c r="D1" s="66"/>
    </row>
    <row r="2" spans="1:7" ht="13.15" x14ac:dyDescent="0.25">
      <c r="A2" s="52" t="s">
        <v>593</v>
      </c>
      <c r="B2" s="68" t="str">
        <f>Macrogegevens!C2</f>
        <v>Aa en Hunze</v>
      </c>
      <c r="C2" s="67"/>
      <c r="D2" s="67"/>
    </row>
    <row r="3" spans="1:7" ht="13.15" x14ac:dyDescent="0.25">
      <c r="A3" s="52"/>
      <c r="B3" s="74" t="s">
        <v>148</v>
      </c>
      <c r="C3" s="70" t="s">
        <v>148</v>
      </c>
      <c r="D3" s="69"/>
      <c r="F3" s="74" t="s">
        <v>148</v>
      </c>
      <c r="G3" s="70" t="s">
        <v>148</v>
      </c>
    </row>
    <row r="4" spans="1:7" ht="13.15" x14ac:dyDescent="0.25">
      <c r="A4" s="72" t="s">
        <v>142</v>
      </c>
      <c r="B4" s="75">
        <f>SUM(B1,-1)</f>
        <v>2016</v>
      </c>
      <c r="C4" s="71">
        <f>B1</f>
        <v>2017</v>
      </c>
      <c r="D4" s="65"/>
      <c r="E4" s="72" t="s">
        <v>143</v>
      </c>
      <c r="F4" s="75">
        <f>SUM(B1,-1)</f>
        <v>2016</v>
      </c>
      <c r="G4" s="71">
        <f>B1</f>
        <v>2017</v>
      </c>
    </row>
    <row r="5" spans="1:7" ht="13.15" x14ac:dyDescent="0.25">
      <c r="A5" s="250" t="s">
        <v>787</v>
      </c>
      <c r="B5" s="76"/>
      <c r="C5" s="65"/>
      <c r="D5" s="65"/>
      <c r="E5" s="250" t="s">
        <v>790</v>
      </c>
      <c r="F5" s="77"/>
    </row>
    <row r="6" spans="1:7" x14ac:dyDescent="0.2">
      <c r="A6" s="147" t="s">
        <v>785</v>
      </c>
      <c r="B6" s="202">
        <v>822000</v>
      </c>
      <c r="C6" s="295">
        <f>SUM(C9,-C8)</f>
        <v>56529023</v>
      </c>
      <c r="E6" s="147" t="s">
        <v>559</v>
      </c>
      <c r="F6" s="206">
        <f>SUM(F31,-F8,-F13,-F17,-F19,-F21)</f>
        <v>29593000</v>
      </c>
      <c r="G6" s="207">
        <f>SUM(G31,-G8,-G13,-G17,-G19,-G21)</f>
        <v>27762200.173075296</v>
      </c>
    </row>
    <row r="7" spans="1:7" x14ac:dyDescent="0.2">
      <c r="A7" s="147" t="s">
        <v>569</v>
      </c>
      <c r="B7" s="202">
        <v>55657000</v>
      </c>
      <c r="C7" s="295"/>
      <c r="F7" s="148"/>
      <c r="G7" s="149"/>
    </row>
    <row r="8" spans="1:7" ht="13.15" x14ac:dyDescent="0.25">
      <c r="A8" s="147" t="s">
        <v>552</v>
      </c>
      <c r="B8" s="202">
        <v>1747000</v>
      </c>
      <c r="C8" s="208">
        <f>SUM($B$8,-'Investeringen &amp; financiering'!$D$6,-'Investeringen &amp; financiering'!$D$7)</f>
        <v>1747000</v>
      </c>
      <c r="E8" s="147" t="s">
        <v>554</v>
      </c>
      <c r="F8" s="202">
        <v>6761000</v>
      </c>
      <c r="G8" s="208">
        <f>SUM(F8,G37)</f>
        <v>6761000</v>
      </c>
    </row>
    <row r="9" spans="1:7" x14ac:dyDescent="0.2">
      <c r="A9" s="52" t="s">
        <v>570</v>
      </c>
      <c r="B9" s="88">
        <f>SUM(B6,B7,B8)</f>
        <v>58226000</v>
      </c>
      <c r="C9" s="80">
        <f>SUM($B$9,-'Investeringen &amp; financiering'!$C$6,-'Investeringen &amp; financiering'!$C$7,-'Investeringen &amp; financiering'!D6,-'Investeringen &amp; financiering'!D7,-$C$35,-$C$36,$C$39)</f>
        <v>58276023</v>
      </c>
      <c r="E9" s="52" t="s">
        <v>558</v>
      </c>
      <c r="F9" s="82">
        <f>SUM(F6,F8)</f>
        <v>36354000</v>
      </c>
      <c r="G9" s="80">
        <f>SUM(G6,G8)</f>
        <v>34523200.173075296</v>
      </c>
    </row>
    <row r="10" spans="1:7" ht="13.15" x14ac:dyDescent="0.25">
      <c r="A10" s="52"/>
      <c r="B10" s="249"/>
      <c r="C10" s="80"/>
      <c r="F10" s="76"/>
    </row>
    <row r="11" spans="1:7" ht="13.15" x14ac:dyDescent="0.25">
      <c r="A11" s="52" t="s">
        <v>136</v>
      </c>
      <c r="B11" s="140">
        <v>1962000</v>
      </c>
      <c r="C11" s="80">
        <f>SUM($B$11,-'Investeringen &amp; financiering'!$G$6,-'Investeringen &amp; financiering'!$G$7,$C$40)</f>
        <v>1962000</v>
      </c>
      <c r="E11" s="147" t="s">
        <v>556</v>
      </c>
      <c r="F11" s="202">
        <v>36097000</v>
      </c>
      <c r="G11" s="80"/>
    </row>
    <row r="12" spans="1:7" ht="13.15" x14ac:dyDescent="0.25">
      <c r="A12" s="147"/>
      <c r="B12" s="249"/>
      <c r="C12" s="208"/>
      <c r="E12" s="147" t="s">
        <v>555</v>
      </c>
      <c r="F12" s="202">
        <v>3053000</v>
      </c>
      <c r="G12" s="80"/>
    </row>
    <row r="13" spans="1:7" ht="13.15" x14ac:dyDescent="0.25">
      <c r="A13" s="147" t="s">
        <v>137</v>
      </c>
      <c r="B13" s="202">
        <v>4659000</v>
      </c>
      <c r="C13" s="208">
        <f>SUM($B$13,-'Investeringen &amp; financiering'!$C$54,$C$41)</f>
        <v>4659000</v>
      </c>
      <c r="E13" s="52" t="s">
        <v>561</v>
      </c>
      <c r="F13" s="88">
        <f>SUM(F11,F12)</f>
        <v>39150000</v>
      </c>
      <c r="G13" s="80">
        <f>SUM(F13,-'Investeringen &amp; financiering'!T6,-'Investeringen &amp; financiering'!R30,-'Inkomsten &amp; uitgaven'!N30)</f>
        <v>41130822.826924704</v>
      </c>
    </row>
    <row r="14" spans="1:7" ht="13.15" x14ac:dyDescent="0.25">
      <c r="A14" s="147" t="s">
        <v>138</v>
      </c>
      <c r="B14" s="202">
        <v>3241000</v>
      </c>
      <c r="C14" s="208">
        <f>SUM($B$14,-'Investeringen &amp; financiering'!$D$54,$C$42)</f>
        <v>3241000</v>
      </c>
      <c r="F14" s="76"/>
      <c r="G14" s="65"/>
    </row>
    <row r="15" spans="1:7" ht="13.15" x14ac:dyDescent="0.25">
      <c r="A15" s="52" t="s">
        <v>139</v>
      </c>
      <c r="B15" s="88">
        <f>SUM($B$13,$B$14)</f>
        <v>7900000</v>
      </c>
      <c r="C15" s="80">
        <f>SUM($C$13,$C$14)</f>
        <v>7900000</v>
      </c>
      <c r="F15" s="76"/>
      <c r="G15" s="65"/>
    </row>
    <row r="16" spans="1:7" ht="13.15" x14ac:dyDescent="0.25">
      <c r="A16" s="52"/>
      <c r="B16" s="88"/>
      <c r="C16" s="80"/>
      <c r="E16" s="250" t="s">
        <v>789</v>
      </c>
      <c r="F16" s="76"/>
      <c r="G16" s="65"/>
    </row>
    <row r="17" spans="1:7" ht="13.15" x14ac:dyDescent="0.25">
      <c r="A17" s="52" t="s">
        <v>139</v>
      </c>
      <c r="B17" s="140">
        <v>1346000</v>
      </c>
      <c r="C17" s="80">
        <f>SUM(B17,-'Investeringen &amp; financiering'!E30,C43)</f>
        <v>1346000</v>
      </c>
      <c r="E17" s="52" t="s">
        <v>557</v>
      </c>
      <c r="F17" s="140">
        <v>7665000</v>
      </c>
      <c r="G17" s="80">
        <f>SUM(F17,'Investeringen &amp; financiering'!K30)</f>
        <v>7665000</v>
      </c>
    </row>
    <row r="18" spans="1:7" ht="13.15" x14ac:dyDescent="0.25">
      <c r="A18" s="52"/>
      <c r="B18" s="76"/>
      <c r="C18" s="80"/>
      <c r="E18" s="52"/>
      <c r="F18" s="76"/>
      <c r="G18" s="208"/>
    </row>
    <row r="19" spans="1:7" ht="13.15" x14ac:dyDescent="0.25">
      <c r="B19" s="76"/>
      <c r="E19" s="52" t="s">
        <v>38</v>
      </c>
      <c r="F19" s="140">
        <v>2010000</v>
      </c>
      <c r="G19" s="80">
        <f>SUM($F$19,'Investeringen &amp; financiering'!$L$30)</f>
        <v>2010000</v>
      </c>
    </row>
    <row r="20" spans="1:7" ht="13.15" x14ac:dyDescent="0.25">
      <c r="A20" s="250" t="s">
        <v>788</v>
      </c>
      <c r="B20" s="76"/>
      <c r="E20" s="52"/>
      <c r="F20" s="88"/>
      <c r="G20" s="80"/>
    </row>
    <row r="21" spans="1:7" ht="13.15" x14ac:dyDescent="0.25">
      <c r="A21" s="147" t="s">
        <v>571</v>
      </c>
      <c r="B21" s="202">
        <v>8151000</v>
      </c>
      <c r="C21" s="208">
        <f>SUM(B21,C44,'Investeringen &amp; financiering'!D7,-'Investeringen &amp; financiering'!E6,-C45)</f>
        <v>8251000</v>
      </c>
      <c r="E21" s="52" t="s">
        <v>30</v>
      </c>
      <c r="F21" s="142">
        <v>2621000</v>
      </c>
      <c r="G21" s="143">
        <f>SUM($F$21,'Investeringen &amp; financiering'!$M$30)</f>
        <v>2621000</v>
      </c>
    </row>
    <row r="22" spans="1:7" ht="13.15" x14ac:dyDescent="0.25">
      <c r="A22" s="147" t="s">
        <v>28</v>
      </c>
      <c r="B22" s="202">
        <v>378000</v>
      </c>
      <c r="C22" s="208">
        <f>SUM(B22,-'Investeringen &amp; financiering'!F6)</f>
        <v>378000</v>
      </c>
      <c r="F22" s="76"/>
      <c r="G22" s="65"/>
    </row>
    <row r="23" spans="1:7" ht="13.15" x14ac:dyDescent="0.25">
      <c r="A23" s="52" t="s">
        <v>560</v>
      </c>
      <c r="B23" s="88">
        <f>SUM(B21,B22)</f>
        <v>8529000</v>
      </c>
      <c r="C23" s="80">
        <f>SUM(C21,C22)</f>
        <v>8629000</v>
      </c>
      <c r="F23" s="88"/>
      <c r="G23" s="80"/>
    </row>
    <row r="24" spans="1:7" ht="13.15" x14ac:dyDescent="0.25">
      <c r="B24" s="76"/>
      <c r="F24" s="88"/>
      <c r="G24" s="80"/>
    </row>
    <row r="25" spans="1:7" ht="13.15" x14ac:dyDescent="0.25">
      <c r="A25" s="52" t="s">
        <v>140</v>
      </c>
      <c r="B25" s="140">
        <v>6577000</v>
      </c>
      <c r="C25" s="80">
        <f>SUM(B25,-'Investeringen &amp; financiering'!F30)</f>
        <v>6577000</v>
      </c>
      <c r="F25" s="88"/>
      <c r="G25" s="80"/>
    </row>
    <row r="26" spans="1:7" ht="13.15" x14ac:dyDescent="0.25">
      <c r="B26" s="88"/>
      <c r="C26" s="80"/>
      <c r="F26" s="88"/>
      <c r="G26" s="80"/>
    </row>
    <row r="27" spans="1:7" ht="13.15" x14ac:dyDescent="0.25">
      <c r="A27" s="52" t="s">
        <v>553</v>
      </c>
      <c r="B27" s="140">
        <v>445000</v>
      </c>
      <c r="C27" s="181">
        <f>SUM(B27,-'Investeringen &amp; financiering'!G30)</f>
        <v>445000</v>
      </c>
      <c r="F27" s="76"/>
      <c r="G27" s="65"/>
    </row>
    <row r="28" spans="1:7" ht="13.15" x14ac:dyDescent="0.25">
      <c r="A28" s="52"/>
      <c r="B28" s="180"/>
      <c r="C28" s="181"/>
      <c r="F28" s="76"/>
      <c r="G28" s="65"/>
    </row>
    <row r="29" spans="1:7" ht="13.15" x14ac:dyDescent="0.25">
      <c r="A29" s="72" t="s">
        <v>29</v>
      </c>
      <c r="B29" s="141">
        <v>2815000</v>
      </c>
      <c r="C29" s="81">
        <f>SUM(B29,-'Investeringen &amp; financiering'!H30)</f>
        <v>2815000</v>
      </c>
      <c r="E29" s="73"/>
      <c r="F29" s="150"/>
      <c r="G29" s="182"/>
    </row>
    <row r="30" spans="1:7" ht="13.15" x14ac:dyDescent="0.25">
      <c r="A30" s="179"/>
      <c r="B30" s="183"/>
      <c r="C30" s="146"/>
      <c r="E30" s="53"/>
      <c r="F30" s="184"/>
      <c r="G30" s="146"/>
    </row>
    <row r="31" spans="1:7" ht="13.15" x14ac:dyDescent="0.25">
      <c r="A31" s="52" t="s">
        <v>141</v>
      </c>
      <c r="B31" s="82">
        <f>SUM(B9,B11,B15,B17,B23,B25,B27,B29)</f>
        <v>87800000</v>
      </c>
      <c r="C31" s="80">
        <f>SUM(C9,C11,C15,C17,C23,C25,C27,C29)</f>
        <v>87950023</v>
      </c>
      <c r="E31" s="52" t="s">
        <v>141</v>
      </c>
      <c r="F31" s="82">
        <f>B31</f>
        <v>87800000</v>
      </c>
      <c r="G31" s="80">
        <f>C31</f>
        <v>87950023</v>
      </c>
    </row>
    <row r="32" spans="1:7" ht="13.15" x14ac:dyDescent="0.25">
      <c r="A32" s="52"/>
      <c r="B32" s="146"/>
      <c r="C32" s="80"/>
      <c r="E32" s="52"/>
      <c r="F32" s="146"/>
      <c r="G32" s="80"/>
    </row>
    <row r="33" spans="1:7" ht="13.15" x14ac:dyDescent="0.25">
      <c r="F33" s="53"/>
    </row>
    <row r="34" spans="1:7" ht="13.15" x14ac:dyDescent="0.25">
      <c r="A34" s="52" t="s">
        <v>23</v>
      </c>
      <c r="C34" s="72" t="s">
        <v>760</v>
      </c>
      <c r="E34" s="52" t="s">
        <v>23</v>
      </c>
      <c r="F34" s="150" t="s">
        <v>762</v>
      </c>
      <c r="G34" s="287" t="s">
        <v>760</v>
      </c>
    </row>
    <row r="35" spans="1:7" x14ac:dyDescent="0.2">
      <c r="A35" s="16" t="s">
        <v>786</v>
      </c>
      <c r="C35" s="151">
        <v>0</v>
      </c>
      <c r="E35" s="16" t="s">
        <v>641</v>
      </c>
      <c r="F35" s="209">
        <f>VLOOKUP(Macrogegevens!$C$2,'Data inkomsten'!$C$2:$AA$402,24,0)</f>
        <v>55959000</v>
      </c>
      <c r="G35" s="289">
        <f>VLOOKUP(Macrogegevens!$C$2,'Data inkomsten'!$C$2:$AA$402,24,0)</f>
        <v>55959000</v>
      </c>
    </row>
    <row r="36" spans="1:7" x14ac:dyDescent="0.2">
      <c r="A36" s="16" t="s">
        <v>761</v>
      </c>
      <c r="C36" s="151">
        <v>2449977</v>
      </c>
      <c r="E36" s="16" t="s">
        <v>642</v>
      </c>
      <c r="F36" s="209">
        <f>VLOOKUP(Macrogegevens!$C$2,'Data inkomsten'!$C$2:$AA$402,25,0)</f>
        <v>57862000</v>
      </c>
      <c r="G36" s="288">
        <f>VLOOKUP(Macrogegevens!$C$2,'Data inkomsten'!$C$2:$AA$402,25,0)</f>
        <v>57862000</v>
      </c>
    </row>
    <row r="37" spans="1:7" ht="13.15" x14ac:dyDescent="0.25">
      <c r="E37" s="16" t="s">
        <v>565</v>
      </c>
      <c r="F37" s="152"/>
      <c r="G37" s="209">
        <v>0</v>
      </c>
    </row>
    <row r="38" spans="1:7" ht="13.15" x14ac:dyDescent="0.25">
      <c r="C38" s="166"/>
      <c r="E38" s="16" t="s">
        <v>110</v>
      </c>
      <c r="F38" s="224">
        <f>F6/F31</f>
        <v>0.33705011389521639</v>
      </c>
      <c r="G38" s="20">
        <f>G6/G31</f>
        <v>0.31565881651986943</v>
      </c>
    </row>
    <row r="39" spans="1:7" ht="13.15" x14ac:dyDescent="0.25">
      <c r="A39" s="198" t="s">
        <v>612</v>
      </c>
      <c r="B39" s="199"/>
      <c r="C39" s="200">
        <v>0</v>
      </c>
      <c r="E39" s="16" t="s">
        <v>115</v>
      </c>
      <c r="F39" s="224">
        <f>SUM(F11,F12,F17,F19,F21)/F31</f>
        <v>0.58594533029612761</v>
      </c>
      <c r="G39" s="20">
        <f>SUM(G13,G17,G19,G21)/G31</f>
        <v>0.60746798016101378</v>
      </c>
    </row>
    <row r="40" spans="1:7" ht="13.15" x14ac:dyDescent="0.25">
      <c r="A40" s="201" t="s">
        <v>579</v>
      </c>
      <c r="B40" s="53"/>
      <c r="C40" s="202">
        <v>0</v>
      </c>
      <c r="E40" s="16" t="s">
        <v>610</v>
      </c>
      <c r="F40" s="190">
        <f>SUM(B25,B27,B29)/SUM(F17,F19,F21)</f>
        <v>0.80001626545217952</v>
      </c>
      <c r="G40" s="191">
        <f>SUM(C25,C27,C29)/SUM(G17,G19,G21)</f>
        <v>0.80001626545217952</v>
      </c>
    </row>
    <row r="41" spans="1:7" ht="13.15" x14ac:dyDescent="0.25">
      <c r="A41" s="201" t="s">
        <v>154</v>
      </c>
      <c r="B41" s="53"/>
      <c r="C41" s="202">
        <v>0</v>
      </c>
      <c r="E41" s="16" t="s">
        <v>670</v>
      </c>
      <c r="F41" s="224">
        <f>SUM(F35,-F36,C35,C36)/F13</f>
        <v>1.3971315453384418E-2</v>
      </c>
      <c r="G41" s="20">
        <f>SUM(G35,-G36,C35,C36)/G13</f>
        <v>1.3298469673257853E-2</v>
      </c>
    </row>
    <row r="42" spans="1:7" ht="13.15" x14ac:dyDescent="0.25">
      <c r="A42" s="201" t="s">
        <v>155</v>
      </c>
      <c r="B42" s="53"/>
      <c r="C42" s="202">
        <v>0</v>
      </c>
      <c r="E42" s="16" t="s">
        <v>623</v>
      </c>
      <c r="F42" s="224">
        <f>SUM(F13,F17,F19,F21,-B15,-B17,-B25,-B27,-B29)/F35</f>
        <v>0.57833413749352203</v>
      </c>
      <c r="G42" s="20">
        <f>SUM(G13,G17,G19,G21,-C15,-C17,-C25,-C27,-C29)/G35</f>
        <v>0.61373188990018945</v>
      </c>
    </row>
    <row r="43" spans="1:7" ht="13.15" x14ac:dyDescent="0.25">
      <c r="A43" s="201" t="s">
        <v>594</v>
      </c>
      <c r="B43" s="53"/>
      <c r="C43" s="202">
        <v>0</v>
      </c>
      <c r="E43" s="16" t="s">
        <v>109</v>
      </c>
      <c r="F43" s="224">
        <f>B15/F35</f>
        <v>0.14117478868457264</v>
      </c>
      <c r="G43" s="20">
        <f>C15/G35</f>
        <v>0.14117478868457264</v>
      </c>
    </row>
    <row r="44" spans="1:7" ht="13.15" x14ac:dyDescent="0.25">
      <c r="A44" s="201" t="s">
        <v>791</v>
      </c>
      <c r="B44" s="53"/>
      <c r="C44" s="202">
        <v>0</v>
      </c>
      <c r="E44" s="16" t="s">
        <v>622</v>
      </c>
      <c r="F44" s="224">
        <f>SUM(B8,B21)/F35</f>
        <v>0.17687950106327846</v>
      </c>
      <c r="G44" s="225">
        <f>SUM(C8,C21)/G35</f>
        <v>0.17866652370485533</v>
      </c>
    </row>
    <row r="45" spans="1:7" ht="13.15" x14ac:dyDescent="0.25">
      <c r="A45" s="203" t="s">
        <v>656</v>
      </c>
      <c r="B45" s="73"/>
      <c r="C45" s="204">
        <v>2500000</v>
      </c>
      <c r="E45" s="16" t="s">
        <v>883</v>
      </c>
      <c r="F45" s="291">
        <f>SUM(SUM(F13,F17,F19,F21,-B29,-B27,-B25,-B23,-B17,-B15)/SUM(B11,B9),-1)</f>
        <v>-0.60400744334418821</v>
      </c>
      <c r="G45" s="292">
        <f>SUM(SUM(G13,G17,G19,G21,-C29,-C27,-C25,-C23,-C17,-C15)/SUM(C11,C9),-1)</f>
        <v>-0.57311310122304804</v>
      </c>
    </row>
    <row r="46" spans="1:7" ht="13.15" x14ac:dyDescent="0.25">
      <c r="E46" s="16" t="s">
        <v>763</v>
      </c>
      <c r="G46" s="290">
        <f>SUM(-$G$13,$F$13,-$G$17,$F$17,-$G$19,$F$19,-$G$21,$F$21,$C$11,-$B$11,$C$15,-$B$15,$C$17,-$B$17,$C$25,-$B$25,$C$27,-$B$27,$C$29,-$B$29,-$C$40)</f>
        <v>-1980822.826924704</v>
      </c>
    </row>
  </sheetData>
  <sheetProtection algorithmName="SHA-512" hashValue="IoUM0PtvkZTpTVHUOQlkU61MkZNLY5M5dZEFgxVYddfMH4O5HzT22mlmD/RRsD/pvQ08ElG7HeV/+loMd6Ke6g==" saltValue="XDBTenuoBDWeslgySDOGGQ==" spinCount="100000" sheet="1" objects="1" scenarios="1" selectLockedCells="1"/>
  <mergeCells count="1">
    <mergeCell ref="C6:C7"/>
  </mergeCells>
  <dataValidations xWindow="437" yWindow="586" count="15">
    <dataValidation allowBlank="1" showInputMessage="1" showErrorMessage="1" promptTitle="Afschrijvingskosten" prompt="Vul de afschrijvingskosten van het lopende boekjaar op de immateriele activa in. Dit inclusief de afschrijvingskosten die worden gedekt uit bestemmingsreserves.    " sqref="C35"/>
    <dataValidation allowBlank="1" showInputMessage="1" showErrorMessage="1" promptTitle="Afschrijvingskosten" prompt="Vul de afschrijvingskosten van het lopende boekjaar op materiele activa in. Dit inclusief de afschrijvingskosten die worden gedekt uit bestemmingsreserves." sqref="C36"/>
    <dataValidation allowBlank="1" showInputMessage="1" showErrorMessage="1" promptTitle="Boekwinst / boekverlies" prompt="Vul de boekwinst of het boekverlies in die in 2017 wordt behaald bij de verkoop van materiele vaste activa. Vul bij winst een positief getal in en bij verlies een negatief getal in.      " sqref="C39"/>
    <dataValidation allowBlank="1" showInputMessage="1" showErrorMessage="1" promptTitle="Boekwinst / boekverlies" prompt="Vul de boekwinst of het boekverlies in die in 2017 wordt behaald bij de verkoop, het afstoten of liquideren van deelnemingen. Vul bij winst een positief getal en bij verlies een negatief getal in." sqref="C40"/>
    <dataValidation type="whole" operator="greaterThanOrEqual" allowBlank="1" showInputMessage="1" showErrorMessage="1" errorTitle="Foutieve invoer" error="U hebt een negatief bedrag ingevuld." promptTitle="Nieuw verstrekte leningen " prompt="Vul het bedrag (positief) in van het verstrekken van nieuwe leningen aan verbonden partijen in 2017. Aflossingen op oude leningen moeten op het blad Investeringen &amp; financiering worden ingevuld.  " sqref="C41">
      <formula1>0</formula1>
    </dataValidation>
    <dataValidation type="whole" operator="greaterThanOrEqual" allowBlank="1" showInputMessage="1" showErrorMessage="1" errorTitle="Foutieve invoer" error="U hebt een negatief bedrag ingevuld." promptTitle="Verstrekken nieuwe leningen" prompt="Vul het bedrag in (positief) van het verstrekken van nieuwe leningen aan derden in het jaar 2017. Aflossingen op leningen aan derden moeten op het blad Investeringen &amp; financiering worden ingevuld." sqref="C42">
      <formula1>0</formula1>
    </dataValidation>
    <dataValidation type="whole" operator="greaterThanOrEqual" allowBlank="1" showInputMessage="1" showErrorMessage="1" errorTitle="Foutieve invoer" error="U hebt een negatief bedrag ingevuld." promptTitle="Nieuwe langlopende uitzettingen" prompt="Vul het bedrag (positief) aan nieuwe langlopende uitzettingen in die in 2017 worden geplaatst. Hieronder vallen ook langlopende uitzettingen bij de schatkist.     " sqref="C43">
      <formula1>0</formula1>
    </dataValidation>
    <dataValidation allowBlank="1" showInputMessage="1" showErrorMessage="1" promptTitle="EMU-saldo" prompt="Rood is EMU-tekort" sqref="G46"/>
    <dataValidation type="whole" operator="greaterThanOrEqual" allowBlank="1" showInputMessage="1" showErrorMessage="1" errorTitle="Foutieve invoer" error="U hebt een negatief bedrag ingevuld" promptTitle="Voorraad NIEGG eindbalans" prompt="Voer hier de waardestijging (positief) in die ontstaat bij de overboeking van Niet in Exploitatie Genomen Grond naar Onderhanden werk. " sqref="C44">
      <formula1>0</formula1>
    </dataValidation>
    <dataValidation type="whole" operator="lessThanOrEqual" allowBlank="1" showInputMessage="1" showErrorMessage="1" errorTitle="positief getal ingevoerd" error="U dient een negatief getal in te voeren" promptTitle="Mutatie onderhanden werk" prompt="Voer eerst op blad Investeringen &amp; financiering de investeringen onderhanden werk in en corrigeer hierboven afname NIEG grond. Vul dan pas hier de afname (negatief) van het onderhanden werk (kostprijs verkopen) in voor stand eindbalans 2017." sqref="C46">
      <formula1>0</formula1>
    </dataValidation>
    <dataValidation allowBlank="1" showInputMessage="1" showErrorMessage="1" promptTitle="Mutatie voorzieningen" prompt="Voer het bedrag is waarmee de voorzieningen in 2015 toenemen (positief bedrag) of afnemen (negatief bedrag)." sqref="G37"/>
    <dataValidation allowBlank="1" showInputMessage="1" showErrorMessage="1" promptTitle="Baten v. mutatie reserves 2015" prompt="Vul de baten voor mutatie reserves in uit de jaarrekening 2015. Neem hiervoor de baten inclusief de opbrengst uit de verkopen grondexploitatie.    " sqref="F35"/>
    <dataValidation allowBlank="1" showInputMessage="1" showErrorMessage="1" promptTitle="Baten v. mutatie reserves 2016 " prompt="Vul de baten voor mutatie reserves in die voor het jaar 2016 zijn begroot. Neem hiervoor de baten inclusief de opbrengst uit de verkopen bouwgrondexploitatie.  " sqref="G35:G36"/>
    <dataValidation allowBlank="1" showInputMessage="1" showErrorMessage="1" promptTitle="Lasten v. mutatie reserves 2015" prompt="Vul de lasten voor mutatie reserves in uit de jaarrekening 2015. Neem de lasten inclusief de kostprijs verkopen bouwgrondexploitatie.  " sqref="F36"/>
    <dataValidation type="whole" operator="greaterThanOrEqual" allowBlank="1" showInputMessage="1" showErrorMessage="1" errorTitle="Foutieve invoer" error="U hebt een negatief bedrag ingevuld. Vul een positief bedrag in." promptTitle="Mutatie onderhanden werk" prompt="Vul eerst op het blad Investeringen &amp; financiering de verwachte opbrengst van de verkoop van gereed onderhanden werk in. Vul er na op deze plaats het bedrag van de kostprijs verkopen (positief bedrag) in." sqref="C45">
      <formula1>0</formula1>
    </dataValidation>
  </dataValidation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4"/>
  <sheetViews>
    <sheetView showGridLines="0" zoomScale="85" zoomScaleNormal="85" workbookViewId="0">
      <selection activeCell="D7" sqref="D7"/>
    </sheetView>
  </sheetViews>
  <sheetFormatPr defaultColWidth="9.140625" defaultRowHeight="12.75" x14ac:dyDescent="0.2"/>
  <cols>
    <col min="1" max="1" width="3" style="16" customWidth="1"/>
    <col min="2" max="2" width="37.7109375" style="16" bestFit="1" customWidth="1"/>
    <col min="3" max="3" width="34.140625" style="16" bestFit="1" customWidth="1"/>
    <col min="4" max="4" width="31" style="16" bestFit="1" customWidth="1"/>
    <col min="5" max="5" width="30.5703125" style="16" customWidth="1"/>
    <col min="6" max="6" width="31" style="16" customWidth="1"/>
    <col min="7" max="8" width="32" style="16" customWidth="1"/>
    <col min="9" max="9" width="24.42578125" style="16" customWidth="1"/>
    <col min="10" max="10" width="24.5703125" style="16" customWidth="1"/>
    <col min="11" max="11" width="22.28515625" style="16" customWidth="1"/>
    <col min="12" max="12" width="21.85546875" style="16" customWidth="1"/>
    <col min="13" max="13" width="18.7109375" style="16" customWidth="1"/>
    <col min="14" max="14" width="21.42578125" style="3" hidden="1" customWidth="1"/>
    <col min="15" max="15" width="25.5703125" style="3" hidden="1" customWidth="1"/>
    <col min="16" max="17" width="16.140625" style="3" hidden="1" customWidth="1"/>
    <col min="18" max="18" width="27.7109375" style="3" hidden="1" customWidth="1"/>
    <col min="19" max="19" width="19.28515625" style="3" hidden="1" customWidth="1"/>
    <col min="20" max="20" width="25.28515625" style="3" hidden="1" customWidth="1"/>
    <col min="21" max="21" width="61.140625" style="3" hidden="1" customWidth="1"/>
    <col min="22" max="22" width="16.28515625" style="3" hidden="1" customWidth="1"/>
    <col min="23" max="23" width="16.7109375" style="16" hidden="1" customWidth="1"/>
    <col min="24" max="24" width="8.28515625" style="16" hidden="1" customWidth="1"/>
    <col min="25" max="25" width="10.28515625" style="16" hidden="1" customWidth="1"/>
    <col min="26" max="26" width="23" style="16" hidden="1" customWidth="1"/>
    <col min="27" max="27" width="22.42578125" style="16" hidden="1" customWidth="1"/>
    <col min="28" max="28" width="15.140625" style="16" hidden="1" customWidth="1"/>
    <col min="29" max="29" width="9.140625" style="16" customWidth="1"/>
    <col min="30" max="16384" width="9.140625" style="16"/>
  </cols>
  <sheetData>
    <row r="1" spans="1:30" x14ac:dyDescent="0.2">
      <c r="A1" s="294" t="s">
        <v>130</v>
      </c>
      <c r="B1" s="294"/>
      <c r="C1" s="64">
        <f>Macrogegevens!C1</f>
        <v>2017</v>
      </c>
      <c r="H1" s="52"/>
      <c r="J1" s="52"/>
      <c r="K1" s="52"/>
      <c r="L1" s="52"/>
      <c r="N1" s="16"/>
      <c r="O1" s="2" t="s">
        <v>69</v>
      </c>
      <c r="R1" s="2" t="s">
        <v>70</v>
      </c>
      <c r="U1" s="2" t="s">
        <v>0</v>
      </c>
      <c r="V1" s="2"/>
      <c r="W1" s="2" t="s">
        <v>49</v>
      </c>
      <c r="X1" s="3"/>
      <c r="Y1" s="86" t="s">
        <v>23</v>
      </c>
      <c r="Z1" s="16" t="s">
        <v>156</v>
      </c>
      <c r="AA1" s="16" t="s">
        <v>158</v>
      </c>
      <c r="AB1" s="16" t="s">
        <v>157</v>
      </c>
    </row>
    <row r="2" spans="1:30" x14ac:dyDescent="0.2">
      <c r="A2" s="51" t="s">
        <v>124</v>
      </c>
      <c r="C2" s="16" t="s">
        <v>615</v>
      </c>
      <c r="D2" s="104" t="s">
        <v>647</v>
      </c>
      <c r="E2" s="16" t="s">
        <v>648</v>
      </c>
      <c r="F2" s="16" t="s">
        <v>28</v>
      </c>
      <c r="G2" s="16" t="s">
        <v>27</v>
      </c>
      <c r="H2" s="5"/>
      <c r="I2" s="10"/>
      <c r="K2" s="19"/>
      <c r="L2" s="10"/>
      <c r="M2" s="10"/>
      <c r="N2" s="10" t="s">
        <v>617</v>
      </c>
      <c r="O2" s="3" t="s">
        <v>47</v>
      </c>
      <c r="P2" s="3" t="s">
        <v>48</v>
      </c>
      <c r="Q2" s="3" t="s">
        <v>72</v>
      </c>
      <c r="R2" s="3" t="s">
        <v>59</v>
      </c>
      <c r="S2" s="3" t="s">
        <v>48</v>
      </c>
      <c r="T2" s="3" t="s">
        <v>122</v>
      </c>
      <c r="U2" s="3" t="s">
        <v>1</v>
      </c>
      <c r="W2" s="8">
        <f>Macrogegevens!C4</f>
        <v>1.325E-2</v>
      </c>
      <c r="X2" s="8">
        <f>SUM(1,W2)</f>
        <v>1.01325</v>
      </c>
      <c r="Y2" s="16">
        <v>1993</v>
      </c>
      <c r="Z2" s="27">
        <v>6.3500000000000001E-2</v>
      </c>
      <c r="AA2" s="27">
        <f>SUM(Z2,0.4%)</f>
        <v>6.7500000000000004E-2</v>
      </c>
      <c r="AB2" s="27">
        <f>SUM(AA2,0.2%)</f>
        <v>6.9500000000000006E-2</v>
      </c>
    </row>
    <row r="3" spans="1:30" ht="13.15" x14ac:dyDescent="0.25">
      <c r="B3" s="17" t="s">
        <v>765</v>
      </c>
      <c r="C3" s="9">
        <f>SUM(Balansprognose!B6,Balansprognose!B7)</f>
        <v>56479000</v>
      </c>
      <c r="D3" s="9">
        <f>SUM(Balansprognose!B8)</f>
        <v>1747000</v>
      </c>
      <c r="E3" s="9">
        <f>Balansprognose!B21</f>
        <v>8151000</v>
      </c>
      <c r="F3" s="48">
        <f>Balansprognose!B22</f>
        <v>378000</v>
      </c>
      <c r="G3" s="9">
        <f>Balansprognose!B11</f>
        <v>1962000</v>
      </c>
      <c r="H3" s="214"/>
      <c r="I3" s="10"/>
      <c r="K3" s="19"/>
      <c r="L3" s="10"/>
      <c r="M3" s="10"/>
      <c r="N3" s="10"/>
      <c r="O3" s="14"/>
      <c r="U3" s="3" t="s">
        <v>646</v>
      </c>
      <c r="W3" s="8">
        <f>SUM(Macrogegevens!C6,-W5)</f>
        <v>1.4136000000000003E-2</v>
      </c>
      <c r="X3" s="3"/>
      <c r="Y3" s="16">
        <v>1994</v>
      </c>
      <c r="Z3" s="27">
        <v>6.8699999999999997E-2</v>
      </c>
      <c r="AA3" s="27">
        <f t="shared" ref="AA3:AA25" si="0">SUM(Z3,0.4%)</f>
        <v>7.2700000000000001E-2</v>
      </c>
      <c r="AB3" s="27">
        <f t="shared" ref="AB3:AB25" si="1">SUM(AA3,0.2%)</f>
        <v>7.4700000000000003E-2</v>
      </c>
    </row>
    <row r="4" spans="1:30" ht="13.15" x14ac:dyDescent="0.25">
      <c r="B4" s="17" t="s">
        <v>562</v>
      </c>
      <c r="C4" s="20">
        <f>VLOOKUP(Macrogegevens!C2,'Data investeringen'!C2:S402,17,0)/SUM(C3,G3)</f>
        <v>6.2011215413836182E-2</v>
      </c>
      <c r="D4" s="18"/>
      <c r="E4" s="18"/>
      <c r="F4" s="18"/>
      <c r="G4" s="18"/>
      <c r="K4" s="19"/>
      <c r="L4" s="19"/>
      <c r="N4" s="16"/>
      <c r="O4" s="14"/>
      <c r="U4" s="3" t="s">
        <v>2</v>
      </c>
      <c r="W4" s="8">
        <f>Macrogegevens!C7</f>
        <v>2.1250000000000002E-2</v>
      </c>
      <c r="X4" s="3"/>
      <c r="Y4" s="16">
        <v>1995</v>
      </c>
      <c r="Z4" s="27">
        <v>6.9000000000000006E-2</v>
      </c>
      <c r="AA4" s="27">
        <f t="shared" si="0"/>
        <v>7.3000000000000009E-2</v>
      </c>
      <c r="AB4" s="27">
        <f t="shared" si="1"/>
        <v>7.5000000000000011E-2</v>
      </c>
    </row>
    <row r="5" spans="1:30" ht="13.15" x14ac:dyDescent="0.25">
      <c r="B5" s="17" t="s">
        <v>563</v>
      </c>
      <c r="C5" s="20">
        <f>SUM(Balansprognose!C35,Balansprognose!C36)/C3</f>
        <v>4.3378547778820449E-2</v>
      </c>
      <c r="D5" s="18"/>
      <c r="E5" s="18"/>
      <c r="F5" s="20"/>
      <c r="G5" s="20">
        <f>Balansprognose!C37/'Investeringen &amp; financiering'!G3</f>
        <v>0</v>
      </c>
      <c r="J5" s="3"/>
      <c r="K5" s="7"/>
      <c r="L5" s="7"/>
      <c r="N5" s="16"/>
      <c r="O5" s="14"/>
      <c r="U5" s="3" t="s">
        <v>18</v>
      </c>
      <c r="W5" s="8">
        <f>Macrogegevens!C11</f>
        <v>3.3639999999999998E-3</v>
      </c>
      <c r="X5" s="3"/>
      <c r="Y5" s="16">
        <v>1996</v>
      </c>
      <c r="Z5" s="27">
        <v>6.1499999999999999E-2</v>
      </c>
      <c r="AA5" s="27">
        <f t="shared" si="0"/>
        <v>6.5500000000000003E-2</v>
      </c>
      <c r="AB5" s="27">
        <f t="shared" si="1"/>
        <v>6.7500000000000004E-2</v>
      </c>
    </row>
    <row r="6" spans="1:30" ht="13.15" x14ac:dyDescent="0.25">
      <c r="B6" s="16" t="s">
        <v>582</v>
      </c>
      <c r="C6" s="144">
        <v>-2500000</v>
      </c>
      <c r="D6" s="144">
        <v>0</v>
      </c>
      <c r="E6" s="144">
        <v>-2600000</v>
      </c>
      <c r="F6" s="240">
        <v>0</v>
      </c>
      <c r="G6" s="144">
        <v>0</v>
      </c>
      <c r="K6" s="19"/>
      <c r="L6" s="19"/>
      <c r="N6" s="16"/>
      <c r="O6" s="50">
        <f>SUM(C6:H7)</f>
        <v>-2600000</v>
      </c>
      <c r="P6" s="24">
        <f>W10*0.5*O6</f>
        <v>-12350</v>
      </c>
      <c r="Q6" s="24">
        <f>SUM(O6:P6)</f>
        <v>-2612350</v>
      </c>
      <c r="R6" s="50">
        <f>SUM(C6:H7)</f>
        <v>-2600000</v>
      </c>
      <c r="S6" s="24">
        <f>W10*R6*0.5</f>
        <v>-12350</v>
      </c>
      <c r="T6" s="24">
        <f>SUM(R6:S6)</f>
        <v>-2612350</v>
      </c>
      <c r="U6" s="3" t="s">
        <v>25</v>
      </c>
      <c r="W6" s="8">
        <f>Macrogegevens!C12</f>
        <v>-2.6860239724672656E-3</v>
      </c>
      <c r="X6" s="3"/>
      <c r="Y6" s="16">
        <v>1997</v>
      </c>
      <c r="Z6" s="27">
        <v>5.5800000000000002E-2</v>
      </c>
      <c r="AA6" s="27">
        <f t="shared" si="0"/>
        <v>5.9800000000000006E-2</v>
      </c>
      <c r="AB6" s="27">
        <f t="shared" si="1"/>
        <v>6.1800000000000008E-2</v>
      </c>
    </row>
    <row r="7" spans="1:30" ht="13.15" x14ac:dyDescent="0.25">
      <c r="B7" s="16" t="s">
        <v>60</v>
      </c>
      <c r="C7" s="90">
        <v>0</v>
      </c>
      <c r="D7" s="145">
        <v>0</v>
      </c>
      <c r="E7" s="145">
        <v>2500000</v>
      </c>
      <c r="F7" s="9"/>
      <c r="G7" s="13">
        <v>0</v>
      </c>
      <c r="L7" s="19"/>
      <c r="N7" s="63">
        <f>SUM(C7:H7)</f>
        <v>2500000</v>
      </c>
      <c r="O7" s="24"/>
      <c r="P7" s="24"/>
      <c r="Q7" s="24"/>
      <c r="R7" s="24"/>
      <c r="S7" s="24"/>
      <c r="T7" s="24"/>
      <c r="U7" s="3" t="s">
        <v>37</v>
      </c>
      <c r="W7" s="8">
        <f>Macrogegevens!C17</f>
        <v>1.4500000000000001E-2</v>
      </c>
      <c r="X7" s="3"/>
      <c r="Y7" s="16">
        <v>1998</v>
      </c>
      <c r="Z7" s="27">
        <v>4.6199999999999998E-2</v>
      </c>
      <c r="AA7" s="27">
        <f t="shared" si="0"/>
        <v>5.0199999999999995E-2</v>
      </c>
      <c r="AB7" s="27">
        <f t="shared" si="1"/>
        <v>5.2199999999999996E-2</v>
      </c>
      <c r="AD7" s="248"/>
    </row>
    <row r="8" spans="1:30" ht="13.15" hidden="1" x14ac:dyDescent="0.25">
      <c r="B8" s="16" t="s">
        <v>582</v>
      </c>
      <c r="C8" s="49">
        <f>-(C4*C3*SUM(X2,W6)^1)*X24</f>
        <v>-3539329.9806816503</v>
      </c>
      <c r="D8" s="49">
        <f>-SUM((D3*SUM($X$2,$W$6)^2),-D3)</f>
        <v>-37105.493229073705</v>
      </c>
      <c r="E8" s="49">
        <f>-VLOOKUP(Macrogegevens!$C$2,'Data investeringen'!$C$2:$S$402,15,0)*1000</f>
        <v>-2412000</v>
      </c>
      <c r="F8" s="49">
        <f>-SUM((F3*SUM($X$2,$W$6)^2),-F3)</f>
        <v>-8028.5497656496009</v>
      </c>
      <c r="G8" s="49"/>
      <c r="L8" s="19"/>
      <c r="N8" s="16"/>
      <c r="O8" s="50">
        <f>SUM(C8:H9)</f>
        <v>-3184226.5236763735</v>
      </c>
      <c r="P8" s="24">
        <f>SUM(Q6,0.5*O8)*W10</f>
        <v>-39942.400987462774</v>
      </c>
      <c r="Q8" s="24">
        <f>SUM(O8:P8)</f>
        <v>-3224168.9246638361</v>
      </c>
      <c r="R8" s="50">
        <f>SUM(C8:H9)</f>
        <v>-3184226.5236763735</v>
      </c>
      <c r="S8" s="24">
        <f>SUM(W10*T6,SUM(W10,W21)*R8*0.5)</f>
        <v>-55863.533605844641</v>
      </c>
      <c r="T8" s="24">
        <f>SUM(R8:S8)</f>
        <v>-3240090.0572822182</v>
      </c>
      <c r="U8" s="3" t="s">
        <v>44</v>
      </c>
      <c r="W8" s="8">
        <f>Macrogegevens!C14</f>
        <v>0</v>
      </c>
      <c r="X8" s="3"/>
      <c r="Y8" s="16">
        <v>1999</v>
      </c>
      <c r="Z8" s="27">
        <v>4.65E-2</v>
      </c>
      <c r="AA8" s="27">
        <f t="shared" si="0"/>
        <v>5.0500000000000003E-2</v>
      </c>
      <c r="AB8" s="27">
        <f t="shared" si="1"/>
        <v>5.2500000000000005E-2</v>
      </c>
    </row>
    <row r="9" spans="1:30" ht="13.15" hidden="1" x14ac:dyDescent="0.25">
      <c r="B9" s="16" t="s">
        <v>60</v>
      </c>
      <c r="C9" s="9"/>
      <c r="D9" s="48"/>
      <c r="E9" s="18">
        <f>VLOOKUP(Macrogegevens!$C$2,'Data investeringen'!$C$2:$S$402,14,0)*X15*1000</f>
        <v>2812237.4999999995</v>
      </c>
      <c r="F9" s="9"/>
      <c r="G9" s="9"/>
      <c r="N9" s="63">
        <f>SUM(C9:H9)</f>
        <v>2812237.4999999995</v>
      </c>
      <c r="O9" s="24"/>
      <c r="P9" s="24"/>
      <c r="Q9" s="24"/>
      <c r="R9" s="24"/>
      <c r="S9" s="24"/>
      <c r="T9" s="24"/>
      <c r="U9" s="3" t="s">
        <v>33</v>
      </c>
      <c r="W9" s="8">
        <f>Macrogegevens!C15</f>
        <v>7.0000000000000001E-3</v>
      </c>
      <c r="X9" s="3"/>
      <c r="Y9" s="16">
        <v>2000</v>
      </c>
      <c r="Z9" s="27">
        <v>5.4100000000000002E-2</v>
      </c>
      <c r="AA9" s="27">
        <f t="shared" si="0"/>
        <v>5.8099999999999999E-2</v>
      </c>
      <c r="AB9" s="27">
        <f t="shared" si="1"/>
        <v>6.0100000000000001E-2</v>
      </c>
    </row>
    <row r="10" spans="1:30" ht="13.15" hidden="1" x14ac:dyDescent="0.25">
      <c r="B10" s="16" t="s">
        <v>624</v>
      </c>
      <c r="C10" s="49">
        <f>(-(C4*C3)*SUM(X2,W6)^2)*X24</f>
        <v>-3576719.3777510989</v>
      </c>
      <c r="D10" s="87">
        <f>-SUM((D3*SUM($X$2,$W$6)^3),-D3)</f>
        <v>-55952.740890134824</v>
      </c>
      <c r="E10" s="49">
        <f>-VLOOKUP(Macrogegevens!$C$2,'Data investeringen'!$C$2:$S$402,15,0)*1000</f>
        <v>-2412000</v>
      </c>
      <c r="F10" s="49">
        <f>-SUM((F3*SUM($X$2,$W$6)^3),-F3)</f>
        <v>-12106.54611131706</v>
      </c>
      <c r="G10" s="47"/>
      <c r="N10" s="16"/>
      <c r="O10" s="50">
        <f>SUM(C10:H11)</f>
        <v>-3392553.6647525514</v>
      </c>
      <c r="P10" s="24">
        <f>SUM(Q6,Q8,0.5*O10)*W10</f>
        <v>-71561.559691881062</v>
      </c>
      <c r="Q10" s="24">
        <f>SUM(O10:P10)</f>
        <v>-3464115.2244444322</v>
      </c>
      <c r="R10" s="50">
        <f>SUM(C10:H11)</f>
        <v>-3392553.6647525514</v>
      </c>
      <c r="S10" s="24">
        <f>SUM(W10*T6,SUM(W10,W21)*T8,SUM(W10,W22)*R10*0.5)</f>
        <v>-138039.24767210337</v>
      </c>
      <c r="T10" s="24">
        <f>SUM(R10:S10)</f>
        <v>-3530592.9124246547</v>
      </c>
      <c r="U10" s="3" t="s">
        <v>26</v>
      </c>
      <c r="W10" s="8">
        <f>Macrogegevens!C16</f>
        <v>9.4999999999999998E-3</v>
      </c>
      <c r="X10" s="3"/>
      <c r="Y10" s="16">
        <v>2001</v>
      </c>
      <c r="Z10" s="27">
        <v>4.9599999999999998E-2</v>
      </c>
      <c r="AA10" s="27">
        <f t="shared" si="0"/>
        <v>5.3599999999999995E-2</v>
      </c>
      <c r="AB10" s="27">
        <f t="shared" si="1"/>
        <v>5.5599999999999997E-2</v>
      </c>
    </row>
    <row r="11" spans="1:30" ht="13.15" hidden="1" x14ac:dyDescent="0.25">
      <c r="B11" s="16" t="s">
        <v>61</v>
      </c>
      <c r="C11" s="18"/>
      <c r="D11" s="48"/>
      <c r="E11" s="18">
        <f>VLOOKUP(Macrogegevens!$C$2,'Data investeringen'!$C$2:$S$402,14,0)*X16*1000</f>
        <v>2664225</v>
      </c>
      <c r="F11" s="9"/>
      <c r="G11" s="9"/>
      <c r="N11" s="63">
        <f>SUM(C11:H11)</f>
        <v>2664225</v>
      </c>
      <c r="O11" s="24"/>
      <c r="P11" s="24"/>
      <c r="Q11" s="24"/>
      <c r="R11" s="24"/>
      <c r="S11" s="24"/>
      <c r="T11" s="24"/>
      <c r="U11" s="3" t="s">
        <v>564</v>
      </c>
      <c r="W11" s="8">
        <f>IF(C4&gt;C5,C4,C5)</f>
        <v>6.2011215413836182E-2</v>
      </c>
      <c r="X11" s="3"/>
      <c r="Y11" s="16">
        <v>2002</v>
      </c>
      <c r="Z11" s="27">
        <v>4.8899999999999999E-2</v>
      </c>
      <c r="AA11" s="27">
        <f t="shared" si="0"/>
        <v>5.2900000000000003E-2</v>
      </c>
      <c r="AB11" s="27">
        <f t="shared" si="1"/>
        <v>5.4900000000000004E-2</v>
      </c>
    </row>
    <row r="12" spans="1:30" ht="13.15" hidden="1" x14ac:dyDescent="0.25">
      <c r="B12" s="16" t="s">
        <v>625</v>
      </c>
      <c r="C12" s="49">
        <f>(-(C4*C3)*SUM(X2,W6)^3)*X24</f>
        <v>-3614503.7555148727</v>
      </c>
      <c r="D12" s="87">
        <f>-SUM((D3*SUM($X$2,$W$6)^4),-D3)</f>
        <v>-74999.09042367246</v>
      </c>
      <c r="E12" s="49">
        <f>-VLOOKUP(Macrogegevens!$C$2,'Data investeringen'!$C$2:$Q$402,15,0)*1000</f>
        <v>-2412000</v>
      </c>
      <c r="F12" s="49">
        <f>-SUM((F3*SUM($X$2,$W$6)^4),-F3)</f>
        <v>-16227.622312620631</v>
      </c>
      <c r="G12" s="47"/>
      <c r="N12" s="16"/>
      <c r="O12" s="50">
        <f>SUM(C12:H13)</f>
        <v>-3453505.468251165</v>
      </c>
      <c r="P12" s="24">
        <f>SUM(Q6,Q8,Q10,0.5*O12)*W10</f>
        <v>-104760.17539072158</v>
      </c>
      <c r="Q12" s="24">
        <f>SUM(O12:P12)</f>
        <v>-3558265.6436418868</v>
      </c>
      <c r="R12" s="50">
        <f>SUM(C12:H13)</f>
        <v>-3453505.468251165</v>
      </c>
      <c r="S12" s="24">
        <f>SUM(W10*T6,SUM(W10,W21)*T8,SUM(W10,W22)*T10,SUM(W10,W23)*R12*0.5)</f>
        <v>-260358.30503149109</v>
      </c>
      <c r="T12" s="24">
        <f>SUM(R12:S12)</f>
        <v>-3713863.773282656</v>
      </c>
      <c r="W12" s="3"/>
      <c r="X12" s="3"/>
      <c r="Y12" s="16">
        <v>2003</v>
      </c>
      <c r="Z12" s="27">
        <v>4.1200000000000001E-2</v>
      </c>
      <c r="AA12" s="27">
        <f t="shared" si="0"/>
        <v>4.5200000000000004E-2</v>
      </c>
      <c r="AB12" s="27">
        <f t="shared" si="1"/>
        <v>4.7200000000000006E-2</v>
      </c>
    </row>
    <row r="13" spans="1:30" ht="13.15" hidden="1" x14ac:dyDescent="0.25">
      <c r="B13" s="16" t="s">
        <v>62</v>
      </c>
      <c r="C13" s="18"/>
      <c r="D13" s="48"/>
      <c r="E13" s="18">
        <f>VLOOKUP(Macrogegevens!$C$2,'Data investeringen'!$C$2:$Q$402,14,0)*X16*1000</f>
        <v>2664225</v>
      </c>
      <c r="F13" s="9"/>
      <c r="G13" s="9"/>
      <c r="N13" s="63">
        <f>SUM(C13:H13)</f>
        <v>2664225</v>
      </c>
      <c r="O13" s="24"/>
      <c r="P13" s="24"/>
      <c r="Q13" s="24"/>
      <c r="R13" s="24"/>
      <c r="S13" s="24"/>
      <c r="T13" s="24"/>
      <c r="W13" s="3"/>
      <c r="X13" s="3"/>
      <c r="Y13" s="16">
        <v>2004</v>
      </c>
      <c r="Z13" s="27">
        <v>4.0899999999999999E-2</v>
      </c>
      <c r="AA13" s="27">
        <f t="shared" si="0"/>
        <v>4.4899999999999995E-2</v>
      </c>
      <c r="AB13" s="27">
        <f t="shared" si="1"/>
        <v>4.6899999999999997E-2</v>
      </c>
    </row>
    <row r="14" spans="1:30" ht="13.15" hidden="1" x14ac:dyDescent="0.25">
      <c r="B14" s="16" t="s">
        <v>34</v>
      </c>
      <c r="C14" s="49">
        <f>(-(C4*C3)*SUM(X2,W6)^4)*X24</f>
        <v>-3652687.2865395583</v>
      </c>
      <c r="D14" s="49">
        <f>-SUM((D3*SUM($X$2,$W$6)^5),-D3)</f>
        <v>-94246.645137094427</v>
      </c>
      <c r="E14" s="49">
        <f>SUM($E$8,$E$10,$E$12)/3</f>
        <v>-2412000</v>
      </c>
      <c r="F14" s="49">
        <f>-SUM((F3*SUM($X$2,$W$6)^5),-F3)</f>
        <v>-20392.233464122284</v>
      </c>
      <c r="G14" s="23"/>
      <c r="I14" s="52"/>
      <c r="J14" s="52"/>
      <c r="K14" s="52"/>
      <c r="L14" s="52"/>
      <c r="M14" s="52"/>
      <c r="N14" s="46"/>
      <c r="O14" s="50">
        <f>SUM(C14:H15)</f>
        <v>-3566284.4984741076</v>
      </c>
      <c r="P14" s="24">
        <f>SUM(Q6,Q8,Q10,Q12,0.5*O14)*W10</f>
        <v>-139099.39939887848</v>
      </c>
      <c r="Q14" s="24">
        <f>SUM(O14:P14)</f>
        <v>-3705383.8978729863</v>
      </c>
      <c r="R14" s="50">
        <f>SUM(C14:H15)</f>
        <v>-3566284.4984741076</v>
      </c>
      <c r="S14" s="24">
        <f>SUM(W10*T6,SUM(W10,W21)*T8,SUM(W10,W22)*T10,SUM(W10,W23)*SUM(T12,R14*0.5))</f>
        <v>-409283.30992305907</v>
      </c>
      <c r="T14" s="24">
        <f>SUM(R14:S14)</f>
        <v>-3975567.8083971664</v>
      </c>
      <c r="U14" s="2" t="s">
        <v>31</v>
      </c>
      <c r="V14" s="2"/>
      <c r="W14" s="2" t="s">
        <v>49</v>
      </c>
      <c r="X14" s="2"/>
      <c r="Y14" s="16">
        <v>2005</v>
      </c>
      <c r="Z14" s="27">
        <v>3.3700000000000001E-2</v>
      </c>
      <c r="AA14" s="27">
        <f t="shared" si="0"/>
        <v>3.7699999999999997E-2</v>
      </c>
      <c r="AB14" s="27">
        <f t="shared" si="1"/>
        <v>3.9699999999999999E-2</v>
      </c>
    </row>
    <row r="15" spans="1:30" ht="13.15" hidden="1" x14ac:dyDescent="0.25">
      <c r="B15" s="16" t="s">
        <v>63</v>
      </c>
      <c r="C15" s="18"/>
      <c r="D15" s="18"/>
      <c r="E15" s="18">
        <f>SUM(SUM($E$9,$E$11,$E$13,)/3,1/3*$V$35)</f>
        <v>2613041.6666666665</v>
      </c>
      <c r="F15" s="18"/>
      <c r="G15" s="18"/>
      <c r="J15" s="19"/>
      <c r="K15" s="19"/>
      <c r="L15" s="19"/>
      <c r="M15" s="19"/>
      <c r="N15" s="63">
        <f>SUM(C15:H15)</f>
        <v>2613041.6666666665</v>
      </c>
      <c r="O15" s="24"/>
      <c r="P15" s="24"/>
      <c r="Q15" s="24"/>
      <c r="R15" s="24"/>
      <c r="S15" s="24"/>
      <c r="T15" s="24"/>
      <c r="U15" s="3" t="s">
        <v>635</v>
      </c>
      <c r="W15" s="7">
        <f>Macrogegevens!G7</f>
        <v>0.05</v>
      </c>
      <c r="X15" s="7">
        <f>SUM(1,-W15)</f>
        <v>0.95</v>
      </c>
      <c r="Y15" s="16">
        <v>2006</v>
      </c>
      <c r="Z15" s="27">
        <v>3.78E-2</v>
      </c>
      <c r="AA15" s="27">
        <f t="shared" si="0"/>
        <v>4.1800000000000004E-2</v>
      </c>
      <c r="AB15" s="27">
        <f t="shared" si="1"/>
        <v>4.3800000000000006E-2</v>
      </c>
    </row>
    <row r="16" spans="1:30" ht="13.15" hidden="1" x14ac:dyDescent="0.25">
      <c r="B16" s="16" t="s">
        <v>35</v>
      </c>
      <c r="C16" s="49">
        <f>(-(C4*C3)*SUM(X2,W6)^5)*X24</f>
        <v>-3691274.1874706354</v>
      </c>
      <c r="D16" s="49">
        <f>-SUM((D3*SUM($X$2,$W$6)^6),-D3)</f>
        <v>-113697.53055709763</v>
      </c>
      <c r="E16" s="49">
        <f>SUM($E$8,$E$10,$E$12)/3</f>
        <v>-2412000</v>
      </c>
      <c r="F16" s="49">
        <f>-SUM((F3*SUM($X$2,$W$6)^6),-F3)</f>
        <v>-24600.839467992482</v>
      </c>
      <c r="G16" s="23"/>
      <c r="J16" s="19"/>
      <c r="K16" s="19"/>
      <c r="L16" s="19"/>
      <c r="M16" s="19"/>
      <c r="N16" s="19"/>
      <c r="O16" s="50">
        <f>SUM(C16:H17)</f>
        <v>-3729051.7241623919</v>
      </c>
      <c r="P16" s="24">
        <f>SUM(Q6,Q8,Q10,Q12,Q14,0.5*O16)*W10</f>
        <v>-175073.6907506912</v>
      </c>
      <c r="Q16" s="24">
        <f>SUM(O16:P16)</f>
        <v>-3904125.414913083</v>
      </c>
      <c r="R16" s="50">
        <f>SUM(C16:H17)</f>
        <v>-3729051.7241623919</v>
      </c>
      <c r="S16" s="24">
        <f>SUM(W10*T6,SUM(W10,W21)*T8,SUM(W10,W22)*T10,SUM(W10,W23)*SUM(T12,T14,R16*0.5))</f>
        <v>-569532.89106209087</v>
      </c>
      <c r="T16" s="24">
        <f>SUM(R16:S16)</f>
        <v>-4298584.6152244825</v>
      </c>
      <c r="U16" s="3" t="s">
        <v>636</v>
      </c>
      <c r="W16" s="7">
        <f>Macrogegevens!G8</f>
        <v>0.1</v>
      </c>
      <c r="X16" s="7">
        <f>SUM(1,-W16)</f>
        <v>0.9</v>
      </c>
      <c r="Y16" s="16">
        <v>2007</v>
      </c>
      <c r="Z16" s="27">
        <v>4.2900000000000001E-2</v>
      </c>
      <c r="AA16" s="27">
        <f t="shared" si="0"/>
        <v>4.6899999999999997E-2</v>
      </c>
      <c r="AB16" s="27">
        <f t="shared" si="1"/>
        <v>4.8899999999999999E-2</v>
      </c>
    </row>
    <row r="17" spans="1:28" ht="13.15" hidden="1" x14ac:dyDescent="0.25">
      <c r="B17" s="16" t="s">
        <v>64</v>
      </c>
      <c r="C17" s="18"/>
      <c r="D17" s="18"/>
      <c r="E17" s="18">
        <f>SUM(SUM($E$9,$E$11,$E$13)/3,2/3*$V$35)</f>
        <v>2512520.8333333335</v>
      </c>
      <c r="F17" s="18"/>
      <c r="G17" s="18"/>
      <c r="J17" s="19"/>
      <c r="K17" s="19"/>
      <c r="L17" s="19"/>
      <c r="M17" s="19"/>
      <c r="N17" s="63">
        <f>SUM(C17:H17)</f>
        <v>2512520.8333333335</v>
      </c>
      <c r="O17" s="24"/>
      <c r="P17" s="24"/>
      <c r="Q17" s="24"/>
      <c r="R17" s="24"/>
      <c r="S17" s="24"/>
      <c r="T17" s="24"/>
      <c r="W17" s="7"/>
      <c r="X17" s="7"/>
      <c r="Y17" s="16">
        <v>2008</v>
      </c>
      <c r="Z17" s="27">
        <v>4.2299999999999997E-2</v>
      </c>
      <c r="AA17" s="27">
        <f t="shared" si="0"/>
        <v>4.6299999999999994E-2</v>
      </c>
      <c r="AB17" s="27">
        <f t="shared" si="1"/>
        <v>4.8299999999999996E-2</v>
      </c>
    </row>
    <row r="18" spans="1:28" ht="13.15" hidden="1" x14ac:dyDescent="0.25">
      <c r="B18" s="16" t="s">
        <v>36</v>
      </c>
      <c r="C18" s="49">
        <f>(-(C4*C3)*SUM(X2,W6)^6)*X24</f>
        <v>-3730268.7194981254</v>
      </c>
      <c r="D18" s="49">
        <f>-SUM((D3*SUM($X$2,$W$6)^7),-D3)</f>
        <v>-133353.89466439211</v>
      </c>
      <c r="E18" s="49">
        <f>SUM($E$8,$E$10,$E$12)/3</f>
        <v>-2412000</v>
      </c>
      <c r="F18" s="49">
        <f>-SUM((F3*SUM($X$2,$W$6)^7),-F3)</f>
        <v>-28853.90508479689</v>
      </c>
      <c r="G18" s="23"/>
      <c r="J18" s="7"/>
      <c r="K18" s="7"/>
      <c r="L18" s="7"/>
      <c r="M18" s="7"/>
      <c r="N18" s="16"/>
      <c r="O18" s="50">
        <f>SUM(C18:H19)</f>
        <v>-3892476.5192473149</v>
      </c>
      <c r="P18" s="24">
        <f>SUM(Q6,Q8,Q10,Q12,Q14,Q16,0.5*O18)*W10</f>
        <v>-212939.14996901888</v>
      </c>
      <c r="Q18" s="24">
        <f>SUM(O18:P18)</f>
        <v>-4105415.6692163339</v>
      </c>
      <c r="R18" s="50">
        <f>SUM(C18:H19)</f>
        <v>-3892476.5192473149</v>
      </c>
      <c r="S18" s="24">
        <f>SUM(W10*T6,SUM(W10,W21)*T8,SUM(W10,W22)*T10,SUM(W10,W23)*SUM(T12,T14,T16,R18*0.5))</f>
        <v>-742554.62306638516</v>
      </c>
      <c r="T18" s="24">
        <f>SUM(R18:S18)</f>
        <v>-4635031.1423137002</v>
      </c>
      <c r="W18" s="7"/>
      <c r="X18" s="7"/>
      <c r="Y18" s="16">
        <v>2009</v>
      </c>
      <c r="Z18" s="27">
        <v>3.6900000000000002E-2</v>
      </c>
      <c r="AA18" s="27">
        <f t="shared" si="0"/>
        <v>4.0900000000000006E-2</v>
      </c>
      <c r="AB18" s="27">
        <f t="shared" si="1"/>
        <v>4.2900000000000008E-2</v>
      </c>
    </row>
    <row r="19" spans="1:28" ht="13.15" hidden="1" x14ac:dyDescent="0.25">
      <c r="B19" s="16" t="s">
        <v>65</v>
      </c>
      <c r="C19" s="18"/>
      <c r="D19" s="18"/>
      <c r="E19" s="18">
        <f>SUM(SUM($E$9,$E$11,$E$13)/3,$V$35)</f>
        <v>2412000</v>
      </c>
      <c r="F19" s="18"/>
      <c r="G19" s="18"/>
      <c r="N19" s="63">
        <f>SUM(C19:H19)</f>
        <v>2412000</v>
      </c>
      <c r="O19" s="24"/>
      <c r="P19" s="24"/>
      <c r="Q19" s="24"/>
      <c r="R19" s="24"/>
      <c r="S19" s="24"/>
      <c r="T19" s="24"/>
      <c r="U19" s="3" t="s">
        <v>51</v>
      </c>
      <c r="W19" s="7">
        <f>Macrogegevens!G9</f>
        <v>0.1</v>
      </c>
      <c r="X19" s="7">
        <f>SUM(1,-W19)</f>
        <v>0.9</v>
      </c>
      <c r="Y19" s="16">
        <v>2010</v>
      </c>
      <c r="Z19" s="27">
        <v>2.9899999999999999E-2</v>
      </c>
      <c r="AA19" s="27">
        <f t="shared" si="0"/>
        <v>3.39E-2</v>
      </c>
      <c r="AB19" s="27">
        <f t="shared" si="1"/>
        <v>3.5900000000000001E-2</v>
      </c>
    </row>
    <row r="20" spans="1:28" ht="13.15" hidden="1" x14ac:dyDescent="0.25">
      <c r="B20" s="16" t="s">
        <v>144</v>
      </c>
      <c r="C20" s="49">
        <f>(-(C4*C3)*SUM(X2,W6)^7)*X24</f>
        <v>-3769675.1888271589</v>
      </c>
      <c r="D20" s="49">
        <f>-SUM((D3*SUM($X$2,$W$6)^8),-D3)</f>
        <v>-153217.90813090419</v>
      </c>
      <c r="E20" s="49">
        <f>SUM($E$8,$E$10,$E$12)/3</f>
        <v>-2412000</v>
      </c>
      <c r="F20" s="49">
        <f>-SUM((F3*SUM($X$2,$W$6)^8),-F3)</f>
        <v>-33151.899984820688</v>
      </c>
      <c r="G20" s="23"/>
      <c r="N20" s="16"/>
      <c r="O20" s="50">
        <f>SUM(C20:H21)</f>
        <v>-3956044.9969428843</v>
      </c>
      <c r="P20" s="24">
        <f>SUM(Q6,Q8,Q10,Q12,Q14,Q16,Q18,0.5*O20)*W10</f>
        <v>-252242.54909562803</v>
      </c>
      <c r="Q20" s="24">
        <f>SUM(O20:P20)</f>
        <v>-4208287.5460385121</v>
      </c>
      <c r="R20" s="50">
        <f>SUM(C20:H21)</f>
        <v>-3956044.9969428843</v>
      </c>
      <c r="S20" s="24">
        <f>SUM(W10*T6,SUM(W10,W21)*T8,SUM(W10,W22)*T10,SUM(W10,W23)*SUM(T12,T14,T16,T18,R20*0.5))</f>
        <v>-926893.83062226372</v>
      </c>
      <c r="T20" s="24">
        <f>SUM(R20:S20)</f>
        <v>-4882938.8275651485</v>
      </c>
      <c r="U20" s="3" t="s">
        <v>50</v>
      </c>
      <c r="W20" s="7">
        <f>Macrogegevens!G10</f>
        <v>0.1</v>
      </c>
      <c r="X20" s="7">
        <f>SUM(1,-W20)</f>
        <v>0.9</v>
      </c>
      <c r="Y20" s="16">
        <v>2011</v>
      </c>
      <c r="Z20" s="27">
        <v>2.98E-2</v>
      </c>
      <c r="AA20" s="27">
        <f t="shared" si="0"/>
        <v>3.3799999999999997E-2</v>
      </c>
      <c r="AB20" s="27">
        <f t="shared" si="1"/>
        <v>3.5799999999999998E-2</v>
      </c>
    </row>
    <row r="21" spans="1:28" ht="13.15" hidden="1" x14ac:dyDescent="0.25">
      <c r="B21" s="16" t="s">
        <v>145</v>
      </c>
      <c r="C21" s="18"/>
      <c r="D21" s="18"/>
      <c r="E21" s="18">
        <f>SUM(SUM($E$9,$E$11,$E$13)/3,$V$35)</f>
        <v>2412000</v>
      </c>
      <c r="F21" s="18"/>
      <c r="G21" s="18"/>
      <c r="N21" s="63">
        <f>SUM(C21:H21)</f>
        <v>2412000</v>
      </c>
      <c r="O21" s="24"/>
      <c r="P21" s="24"/>
      <c r="Q21" s="24"/>
      <c r="R21" s="24"/>
      <c r="S21" s="24"/>
      <c r="T21" s="24"/>
      <c r="U21" s="3" t="s">
        <v>619</v>
      </c>
      <c r="W21" s="21">
        <f>Macrogegevens!G12</f>
        <v>0.01</v>
      </c>
      <c r="X21" s="3"/>
      <c r="Y21" s="16">
        <v>2012</v>
      </c>
      <c r="Z21" s="27">
        <v>1.9300000000000001E-2</v>
      </c>
      <c r="AA21" s="27">
        <f t="shared" si="0"/>
        <v>2.3300000000000001E-2</v>
      </c>
      <c r="AB21" s="27">
        <f t="shared" si="1"/>
        <v>2.5300000000000003E-2</v>
      </c>
    </row>
    <row r="22" spans="1:28" ht="13.15" hidden="1" x14ac:dyDescent="0.25">
      <c r="B22" s="16" t="s">
        <v>583</v>
      </c>
      <c r="C22" s="49">
        <f>(-(C4*C3)*SUM(X2,W6)^8)*X24</f>
        <v>-3809497.9471535129</v>
      </c>
      <c r="D22" s="49">
        <f>-SUM((D3*SUM($X$2,$W$6)^9),-D3)</f>
        <v>-173291.76455948735</v>
      </c>
      <c r="E22" s="49">
        <f>SUM($E$8,$E$10,$E$12)/3</f>
        <v>-2412000</v>
      </c>
      <c r="F22" s="49">
        <f>-SUM((F3*SUM($X$2,$W$6)^9),-F3)</f>
        <v>-37495.298799934855</v>
      </c>
      <c r="G22" s="23"/>
      <c r="N22" s="16"/>
      <c r="O22" s="50">
        <f>SUM(C22:H23)</f>
        <v>-4020285.010512935</v>
      </c>
      <c r="P22" s="24">
        <f>SUM(Q6,Q8,Q10,Q12,Q14,Q16,Q18,Q20,0.5*O22)*W10</f>
        <v>-292526.42084745161</v>
      </c>
      <c r="Q22" s="24">
        <f>SUM(O22:P22)</f>
        <v>-4312811.4313603863</v>
      </c>
      <c r="R22" s="50">
        <f>SUM(C22:H23)</f>
        <v>-4020285.010512935</v>
      </c>
      <c r="S22" s="24">
        <f>SUM(W10*T6,SUM(W10,W21)*T8,SUM(W10,W22)*T10,SUM(W10,W23)*SUM(T12,T14,T16,T18,T20,R22*0.5))</f>
        <v>-1121038.6545790955</v>
      </c>
      <c r="T22" s="24">
        <f>SUM(R22:S22)</f>
        <v>-5141323.6650920305</v>
      </c>
      <c r="U22" s="3" t="s">
        <v>620</v>
      </c>
      <c r="W22" s="21">
        <f>Macrogegevens!G13</f>
        <v>0.02</v>
      </c>
      <c r="X22" s="3"/>
      <c r="Y22" s="16">
        <v>2013</v>
      </c>
      <c r="Z22" s="27">
        <v>1.9599999999999999E-2</v>
      </c>
      <c r="AA22" s="27">
        <f t="shared" si="0"/>
        <v>2.3599999999999999E-2</v>
      </c>
      <c r="AB22" s="27">
        <f t="shared" si="1"/>
        <v>2.5599999999999998E-2</v>
      </c>
    </row>
    <row r="23" spans="1:28" ht="13.15" hidden="1" x14ac:dyDescent="0.25">
      <c r="B23" s="16" t="s">
        <v>584</v>
      </c>
      <c r="C23" s="18"/>
      <c r="D23" s="18"/>
      <c r="E23" s="18">
        <f>SUM(SUM($E$9,$E$11,$E$13)/3,$V$35)</f>
        <v>2412000</v>
      </c>
      <c r="F23" s="18"/>
      <c r="G23" s="18"/>
      <c r="N23" s="63">
        <f>SUM(C23:H23)</f>
        <v>2412000</v>
      </c>
      <c r="O23" s="24"/>
      <c r="P23" s="24"/>
      <c r="Q23" s="24"/>
      <c r="R23" s="24"/>
      <c r="S23" s="24"/>
      <c r="T23" s="24"/>
      <c r="U23" s="3" t="s">
        <v>621</v>
      </c>
      <c r="W23" s="21">
        <f>Macrogegevens!G14</f>
        <v>0.03</v>
      </c>
      <c r="X23" s="3"/>
      <c r="Y23" s="16">
        <v>2014</v>
      </c>
      <c r="Z23" s="27">
        <v>1.4500000000000001E-2</v>
      </c>
      <c r="AA23" s="27">
        <f t="shared" si="0"/>
        <v>1.8500000000000003E-2</v>
      </c>
      <c r="AB23" s="27">
        <f t="shared" si="1"/>
        <v>2.0500000000000004E-2</v>
      </c>
    </row>
    <row r="24" spans="1:28" ht="13.15" hidden="1" x14ac:dyDescent="0.25">
      <c r="B24" s="16" t="s">
        <v>626</v>
      </c>
      <c r="C24" s="49">
        <f>(-(C4*C3)*SUM(X2,W6)^9)*X24</f>
        <v>-3849741.392144178</v>
      </c>
      <c r="D24" s="49">
        <f>-SUM((D3*SUM($X$2,$W$6)^10),-D3)</f>
        <v>-193577.68072616216</v>
      </c>
      <c r="E24" s="49">
        <f>SUM($E$8,$E$10,$E$12)/3</f>
        <v>-2412000</v>
      </c>
      <c r="F24" s="49">
        <f>-SUM((F3*SUM($X$2,$W$6)^10),-F3)</f>
        <v>-41884.581176009902</v>
      </c>
      <c r="G24" s="23"/>
      <c r="N24" s="16"/>
      <c r="O24" s="50">
        <f>SUM(C24:H25)</f>
        <v>-4085203.6540463502</v>
      </c>
      <c r="P24" s="24">
        <f>SUM(Q6,Q8,Q10,Q12,Q14,Q16,Q18,Q20,Q22,0.5*O24)*W10</f>
        <v>-333806.49300215906</v>
      </c>
      <c r="Q24" s="24">
        <f>SUM(O24:P24)</f>
        <v>-4419010.1470485087</v>
      </c>
      <c r="R24" s="50">
        <f>SUM(C24:H25)</f>
        <v>-4085203.6540463502</v>
      </c>
      <c r="S24" s="24">
        <f>SUM(W10*T6,SUM(W10,W21)*T8,SUM(W10,W22)*T10,SUM(W10,W23)*SUM(T12,T14,T16,T18,T20,T22,R24*0.5))</f>
        <v>-1325403.0825600156</v>
      </c>
      <c r="T24" s="24">
        <f>SUM(R24:S24)</f>
        <v>-5410606.736606366</v>
      </c>
      <c r="U24" s="16" t="s">
        <v>650</v>
      </c>
      <c r="V24" s="16"/>
      <c r="W24" s="7">
        <f>Macrogegevens!G19</f>
        <v>0</v>
      </c>
      <c r="X24" s="7">
        <f>SUM(1,-W24)</f>
        <v>1</v>
      </c>
      <c r="Y24" s="16">
        <v>2015</v>
      </c>
      <c r="Z24" s="27">
        <v>6.8999999999999999E-3</v>
      </c>
      <c r="AA24" s="27">
        <f t="shared" si="0"/>
        <v>1.09E-2</v>
      </c>
      <c r="AB24" s="27">
        <f t="shared" si="1"/>
        <v>1.29E-2</v>
      </c>
    </row>
    <row r="25" spans="1:28" ht="13.15" hidden="1" x14ac:dyDescent="0.25">
      <c r="B25" s="16" t="s">
        <v>627</v>
      </c>
      <c r="C25" s="18"/>
      <c r="D25" s="18"/>
      <c r="E25" s="18">
        <f>SUM(SUM($E$9,$E$11,$E$13)/3,$V$35)</f>
        <v>2412000</v>
      </c>
      <c r="F25" s="18"/>
      <c r="G25" s="18"/>
      <c r="N25" s="63">
        <f>SUM(C25:H25)</f>
        <v>2412000</v>
      </c>
      <c r="O25" s="14"/>
      <c r="P25" s="14"/>
      <c r="W25" s="3"/>
      <c r="X25" s="3"/>
      <c r="Y25" s="16">
        <v>2016</v>
      </c>
      <c r="Z25" s="27">
        <v>2.8999999999999998E-3</v>
      </c>
      <c r="AA25" s="27">
        <f t="shared" si="0"/>
        <v>6.8999999999999999E-3</v>
      </c>
      <c r="AB25" s="27">
        <f t="shared" si="1"/>
        <v>8.8999999999999999E-3</v>
      </c>
    </row>
    <row r="26" spans="1:28" ht="13.15" x14ac:dyDescent="0.25">
      <c r="N26" s="16"/>
      <c r="W26" s="3"/>
    </row>
    <row r="27" spans="1:28" ht="13.15" x14ac:dyDescent="0.25">
      <c r="N27" s="18"/>
      <c r="Y27" s="86" t="s">
        <v>160</v>
      </c>
      <c r="Z27" s="86">
        <v>15</v>
      </c>
      <c r="AA27" s="16" t="s">
        <v>158</v>
      </c>
      <c r="AB27" s="16" t="s">
        <v>157</v>
      </c>
    </row>
    <row r="28" spans="1:28" ht="13.15" x14ac:dyDescent="0.25">
      <c r="A28" s="51" t="s">
        <v>125</v>
      </c>
      <c r="C28" s="16" t="s">
        <v>39</v>
      </c>
      <c r="D28" s="16" t="s">
        <v>40</v>
      </c>
      <c r="E28" s="16" t="s">
        <v>41</v>
      </c>
      <c r="F28" s="16" t="s">
        <v>126</v>
      </c>
      <c r="G28" s="16" t="s">
        <v>127</v>
      </c>
      <c r="H28" s="16" t="s">
        <v>29</v>
      </c>
      <c r="I28" s="16" t="s">
        <v>42</v>
      </c>
      <c r="J28" s="16" t="s">
        <v>43</v>
      </c>
      <c r="K28" s="16" t="s">
        <v>32</v>
      </c>
      <c r="L28" s="16" t="s">
        <v>38</v>
      </c>
      <c r="M28" s="16" t="s">
        <v>30</v>
      </c>
      <c r="N28" s="3" t="s">
        <v>45</v>
      </c>
      <c r="O28" s="3" t="s">
        <v>46</v>
      </c>
      <c r="P28" s="3" t="s">
        <v>47</v>
      </c>
      <c r="Q28" s="3" t="s">
        <v>48</v>
      </c>
      <c r="R28" s="3" t="s">
        <v>71</v>
      </c>
      <c r="S28" s="3" t="s">
        <v>147</v>
      </c>
      <c r="T28" s="3" t="s">
        <v>121</v>
      </c>
      <c r="U28" s="2" t="s">
        <v>573</v>
      </c>
      <c r="Y28" s="86" t="s">
        <v>159</v>
      </c>
      <c r="Z28" s="86"/>
    </row>
    <row r="29" spans="1:28" ht="13.15" x14ac:dyDescent="0.25">
      <c r="B29" s="16" t="s">
        <v>765</v>
      </c>
      <c r="C29" s="9">
        <f>Balansprognose!B13</f>
        <v>4659000</v>
      </c>
      <c r="D29" s="9">
        <f>Balansprognose!B14</f>
        <v>3241000</v>
      </c>
      <c r="E29" s="9">
        <f>Balansprognose!B17</f>
        <v>1346000</v>
      </c>
      <c r="F29" s="9">
        <f>Balansprognose!B25</f>
        <v>6577000</v>
      </c>
      <c r="G29" s="9">
        <f>Balansprognose!B27</f>
        <v>445000</v>
      </c>
      <c r="H29" s="9">
        <f>Balansprognose!B29</f>
        <v>2815000</v>
      </c>
      <c r="I29" s="96">
        <f>-Balansprognose!F11</f>
        <v>-36097000</v>
      </c>
      <c r="J29" s="96">
        <f>-Balansprognose!F12</f>
        <v>-3053000</v>
      </c>
      <c r="K29" s="96">
        <f>-Balansprognose!F17</f>
        <v>-7665000</v>
      </c>
      <c r="L29" s="96">
        <f>-Balansprognose!F19</f>
        <v>-2010000</v>
      </c>
      <c r="M29" s="96">
        <f>-Balansprognose!F21</f>
        <v>-2621000</v>
      </c>
      <c r="N29" s="24"/>
      <c r="O29" s="24"/>
      <c r="P29" s="24">
        <f>SUM(C29:O29)</f>
        <v>-32363000</v>
      </c>
      <c r="Q29" s="24"/>
      <c r="R29" s="24"/>
      <c r="Y29" s="16">
        <v>2016</v>
      </c>
      <c r="Z29" s="16">
        <f>Z27</f>
        <v>15</v>
      </c>
      <c r="AA29" s="27">
        <f>SUM(AA11*1/Z29,AA12*1/Z29,AA13*1/Z29,AA14*1/Z29,AA15*1/Z29,AA16*1/$Z$29,AA17*1/$Z$29,AA18*1/$Z$29,AA19*1/$Z$29,AA20*1/$Z$29,AA21*1/$Z$29,AA22*1/$Z$29,AA23*1/$Z$29,AA24*1/$Z$29,AA25*1/$Z$29)</f>
        <v>3.383333333333334E-2</v>
      </c>
      <c r="AB29" s="27">
        <f>SUM(AA29,0.2%)</f>
        <v>3.5833333333333342E-2</v>
      </c>
    </row>
    <row r="30" spans="1:28" ht="13.15" x14ac:dyDescent="0.25">
      <c r="B30" s="16" t="s">
        <v>634</v>
      </c>
      <c r="C30" s="13">
        <v>0</v>
      </c>
      <c r="D30" s="13">
        <v>0</v>
      </c>
      <c r="E30" s="13">
        <v>0</v>
      </c>
      <c r="F30" s="145">
        <v>0</v>
      </c>
      <c r="G30" s="145">
        <v>0</v>
      </c>
      <c r="H30" s="145">
        <v>0</v>
      </c>
      <c r="I30" s="49">
        <f>I29/Z29</f>
        <v>-2406466.6666666665</v>
      </c>
      <c r="J30" s="49">
        <f>J29/Z29</f>
        <v>-203533.33333333334</v>
      </c>
      <c r="K30" s="13">
        <v>0</v>
      </c>
      <c r="L30" s="13">
        <v>0</v>
      </c>
      <c r="M30" s="13">
        <v>0</v>
      </c>
      <c r="N30" s="62">
        <f>SUM(-Balansprognose!C41,-Balansprognose!C42,-Balansprognose!C43)</f>
        <v>0</v>
      </c>
      <c r="O30" s="9">
        <f>-SUM(C30,D30,E30,F30,G30,H30,I30,J30,K30,L30,M30,N30)</f>
        <v>2610000</v>
      </c>
      <c r="P30" s="24">
        <f>SUM(P29,R30)</f>
        <v>-33346405</v>
      </c>
      <c r="Q30" s="24">
        <f>SUM((SUM(C29,-C30)*C31),(SUM(D29,-D30)*D31),(SUM(E29,-E30)*E31),(F29*F31),(SUM(G29,-G30)*G31),(H29*H31),(SUM(I29,-I30)*I31),(SUM(J29,-J30)*J31),(SUM(K29,-K30)*K31),(L29*L31),(M29*M31),(-N30*N31),(-O30*O31))</f>
        <v>-983405.00000000035</v>
      </c>
      <c r="R30" s="24">
        <f>SUM(C30,D30,E30,F30,G30,H30,I30,J30,K30,L30,M30,N30,O30,Q30)</f>
        <v>-983405.00000000035</v>
      </c>
      <c r="S30" s="24">
        <f>SUM((SUM(I29,-I30)*I31),(SUM(J29,-J30)*J31),(SUM(K29,-K30)*K31),(-O30*O31))</f>
        <v>-1314720.0000000005</v>
      </c>
      <c r="T30" s="50">
        <f>SUM((SUM(C29,-C30)*C31),(SUM(D29,-D30)*D31),(SUM(E29,-E30)*E31),(SUM(G29,-G30)*G31),(-N30*N31))</f>
        <v>331315.00000000006</v>
      </c>
      <c r="U30" s="158" t="s">
        <v>574</v>
      </c>
      <c r="V30" s="49">
        <f>SUM(E8,E10,E12)/3</f>
        <v>-2412000</v>
      </c>
      <c r="W30" s="18"/>
      <c r="Y30" s="16">
        <v>2017</v>
      </c>
      <c r="Z30" s="16">
        <f>SUM(Z27,-1)</f>
        <v>14</v>
      </c>
      <c r="AA30" s="27">
        <f>SUM(AA12*1/Z30,AA13*1/Z30,AA14*1/Z30,AA15*1/Z30,AA16*1/Z30,AA17*1/$Z$30,AA18*1/$Z$30,AA19*1/$Z$30,AA20*1/$Z$30,AA21*1/$Z$30,AA22*1/$Z$30,AA23*1/$Z$30,AA24*1/$Z$30,AA25*1/$Z$30)</f>
        <v>3.2471428571428568E-2</v>
      </c>
      <c r="AB30" s="27">
        <f t="shared" ref="AB30:AB38" si="2">SUM(AA30,0.2%)</f>
        <v>3.447142857142857E-2</v>
      </c>
    </row>
    <row r="31" spans="1:28" ht="12.6" customHeight="1" x14ac:dyDescent="0.25">
      <c r="B31" s="16" t="s">
        <v>766</v>
      </c>
      <c r="C31" s="189">
        <f>AB29</f>
        <v>3.5833333333333342E-2</v>
      </c>
      <c r="D31" s="189">
        <f>AB29</f>
        <v>3.5833333333333342E-2</v>
      </c>
      <c r="E31" s="189">
        <f>AB29</f>
        <v>3.5833333333333342E-2</v>
      </c>
      <c r="F31" s="21"/>
      <c r="G31" s="4">
        <f>W8</f>
        <v>0</v>
      </c>
      <c r="H31" s="21"/>
      <c r="I31" s="189">
        <f>AA29</f>
        <v>3.383333333333334E-2</v>
      </c>
      <c r="J31" s="189">
        <f>AA29</f>
        <v>3.383333333333334E-2</v>
      </c>
      <c r="K31" s="4">
        <f>W9</f>
        <v>7.0000000000000001E-3</v>
      </c>
      <c r="L31" s="21"/>
      <c r="M31" s="21"/>
      <c r="N31" s="8">
        <f>W7</f>
        <v>1.4500000000000001E-2</v>
      </c>
      <c r="O31" s="8">
        <f>W10</f>
        <v>9.4999999999999998E-3</v>
      </c>
      <c r="P31" s="21">
        <f>Q30/P30</f>
        <v>2.949058526698756E-2</v>
      </c>
      <c r="R31" s="8">
        <f>W10</f>
        <v>9.4999999999999998E-3</v>
      </c>
      <c r="U31" s="158" t="s">
        <v>575</v>
      </c>
      <c r="V31" s="18">
        <f>SUM(E9,E11,E13)/3</f>
        <v>2713562.5</v>
      </c>
      <c r="Y31" s="16">
        <v>2018</v>
      </c>
      <c r="Z31" s="16">
        <f>SUM(Z27,-2)</f>
        <v>13</v>
      </c>
      <c r="AA31" s="27">
        <f>SUM(AA13*1/Z31,AA14*1/Z31,AA15*1/Z31,AA16*1/Z31,AA17*1/Z31,$AA$18*1/Z31,$AA$19*1/Z31,$AA$20*1/Z31,$AA$21*1/Z31,$AA$22*1/Z31,$AA$23*1/Z31,$AA$24*1/Z31,$AA$25*1/Z31)</f>
        <v>3.1492307692307694E-2</v>
      </c>
      <c r="AB31" s="27">
        <f t="shared" si="2"/>
        <v>3.3492307692307696E-2</v>
      </c>
    </row>
    <row r="32" spans="1:28" ht="13.15" hidden="1" x14ac:dyDescent="0.25">
      <c r="B32" s="16" t="s">
        <v>628</v>
      </c>
      <c r="C32" s="9">
        <f>C29/Z29</f>
        <v>310600</v>
      </c>
      <c r="D32" s="9">
        <f>D29/Z29</f>
        <v>216066.66666666666</v>
      </c>
      <c r="E32" s="9">
        <f>E29/Z29</f>
        <v>89733.333333333328</v>
      </c>
      <c r="F32" s="14"/>
      <c r="G32" s="14"/>
      <c r="H32" s="14"/>
      <c r="I32" s="49">
        <f>I29/Z29</f>
        <v>-2406466.6666666665</v>
      </c>
      <c r="J32" s="49">
        <f>J29/Z29</f>
        <v>-203533.33333333334</v>
      </c>
      <c r="K32" s="14"/>
      <c r="L32" s="14"/>
      <c r="M32" s="14"/>
      <c r="N32" s="62">
        <f>SUM(-C32,-D32)</f>
        <v>-526666.66666666663</v>
      </c>
      <c r="O32" s="14">
        <f>-SUM(C32,D32,E32,I32,J32,N32)</f>
        <v>2520266.6666666665</v>
      </c>
      <c r="P32" s="24">
        <f>SUM(P30,R32)</f>
        <v>-34254784.145595238</v>
      </c>
      <c r="Q32" s="24">
        <f>SUM((SUM(C29,-C30,-C32)*C33),(SUM(D29,-D30,-D32)*D33),(SUM(E29,-E30,-E32)*E33),(F29*F33),(SUM(G29,-G30)*G33),(H29*H33),(SUM(I29,-I30,-I32)*I33),(SUM(J29,-J30,-J32)*J33),(SUM(K29,-K30)*K33),(L29*L33),(M29*M33),(SUM(-N30,-N32)*N33),(SUM(-O30,-O32)*O33),(R30*R31))</f>
        <v>-908379.14559523819</v>
      </c>
      <c r="R32" s="24">
        <f>SUM(C32,D32,N32,Q32)</f>
        <v>-908379.14559523819</v>
      </c>
      <c r="S32" s="24">
        <f>SUM((SUM(I29,-I30,-I32)*I33),(SUM(J29,-J30,-J32)*J33),(SUM(K29,-K30)*K33),(SUM(-O30,-O32)*O33),(R30*R31))</f>
        <v>-1213490.4522619045</v>
      </c>
      <c r="T32" s="50">
        <f>SUM((SUM(C29,-C30,-C32)*C33),(SUM(D29,-D30,-D32)*D33),(SUM(E29,-E30,-E32)*E33),(SUM(G29,-G30)*G33),(SUM(-N30,-N32)*N33))</f>
        <v>305111.30666666664</v>
      </c>
      <c r="U32" s="29" t="s">
        <v>576</v>
      </c>
      <c r="V32" s="50">
        <f>-SUM(V30,V31)</f>
        <v>-301562.5</v>
      </c>
      <c r="Y32" s="16">
        <v>2019</v>
      </c>
      <c r="Z32" s="16">
        <f>SUM(Z27,-3)</f>
        <v>12</v>
      </c>
      <c r="AA32" s="27">
        <f>SUM(AA14*1/Z32,AA15*1/Z32,AA16*1/Z32,AA17*1/Z32,AA18*1/Z32,$AA$19*1/Z32,$AA$20*1/Z32,$AA$21*1/Z32,$AA$22*1/Z32,$AA$23*1/Z32,$AA$24*1/Z32,$AA$25*1/Z32)</f>
        <v>3.0374999999999999E-2</v>
      </c>
      <c r="AB32" s="27">
        <f t="shared" si="2"/>
        <v>3.2375000000000001E-2</v>
      </c>
    </row>
    <row r="33" spans="2:28" ht="13.15" hidden="1" x14ac:dyDescent="0.25">
      <c r="B33" s="16" t="s">
        <v>767</v>
      </c>
      <c r="C33" s="4">
        <f>AB30</f>
        <v>3.447142857142857E-2</v>
      </c>
      <c r="D33" s="4">
        <f>AB30</f>
        <v>3.447142857142857E-2</v>
      </c>
      <c r="E33" s="4">
        <f>AB30</f>
        <v>3.447142857142857E-2</v>
      </c>
      <c r="F33" s="21"/>
      <c r="G33" s="21">
        <f>$W$8</f>
        <v>0</v>
      </c>
      <c r="H33" s="21"/>
      <c r="I33" s="4">
        <f>AA30</f>
        <v>3.2471428571428568E-2</v>
      </c>
      <c r="J33" s="4">
        <f>AA30</f>
        <v>3.2471428571428568E-2</v>
      </c>
      <c r="K33" s="21">
        <f>W9</f>
        <v>7.0000000000000001E-3</v>
      </c>
      <c r="L33" s="21"/>
      <c r="M33" s="21"/>
      <c r="N33" s="8">
        <f>W7</f>
        <v>1.4500000000000001E-2</v>
      </c>
      <c r="O33" s="8">
        <f>W10</f>
        <v>9.4999999999999998E-3</v>
      </c>
      <c r="P33" s="21">
        <f>Q32/P32</f>
        <v>2.6518314689542279E-2</v>
      </c>
      <c r="Q33" s="14"/>
      <c r="R33" s="8">
        <f>W10</f>
        <v>9.4999999999999998E-3</v>
      </c>
      <c r="U33" s="29" t="s">
        <v>863</v>
      </c>
      <c r="V33" s="14">
        <f>SUM(V31,V32)*0.06</f>
        <v>144720</v>
      </c>
      <c r="Y33" s="16">
        <v>2020</v>
      </c>
      <c r="Z33" s="16">
        <f>SUM(Z27,-4)</f>
        <v>11</v>
      </c>
      <c r="AA33" s="27">
        <f>SUM(AA15*1/Z33,AA16*1/Z33,AA17*1/Z33,AA18*1/Z33,AA19*1/Z33,$AA$20*1/Z33,$AA$21*1/Z33,$AA$22*1/Z33,$AA$23*1/Z33,$AA$24*1/Z33,$AA$25*1/Z33)</f>
        <v>2.9709090909090907E-2</v>
      </c>
      <c r="AB33" s="27">
        <f t="shared" si="2"/>
        <v>3.1709090909090909E-2</v>
      </c>
    </row>
    <row r="34" spans="2:28" ht="13.15" hidden="1" x14ac:dyDescent="0.25">
      <c r="B34" s="16" t="s">
        <v>768</v>
      </c>
      <c r="C34" s="9">
        <f>C29/Z29</f>
        <v>310600</v>
      </c>
      <c r="D34" s="9">
        <f>D29/Z29</f>
        <v>216066.66666666666</v>
      </c>
      <c r="E34" s="9">
        <f>E29/Z29</f>
        <v>89733.333333333328</v>
      </c>
      <c r="F34" s="14"/>
      <c r="G34" s="14"/>
      <c r="H34" s="14"/>
      <c r="I34" s="49">
        <f>I29/Z29</f>
        <v>-2406466.6666666665</v>
      </c>
      <c r="J34" s="49">
        <f>J29/Z29</f>
        <v>-203533.33333333334</v>
      </c>
      <c r="K34" s="14"/>
      <c r="L34" s="14"/>
      <c r="M34" s="14"/>
      <c r="N34" s="62">
        <f>SUM(-C34,-D34)</f>
        <v>-526666.66666666663</v>
      </c>
      <c r="O34" s="14">
        <f>-SUM(C34,D34,E34,I34,J34,N34)</f>
        <v>2520266.6666666665</v>
      </c>
      <c r="P34" s="24">
        <f>SUM(P32,R34)</f>
        <v>-35101776.345234804</v>
      </c>
      <c r="Q34" s="24">
        <f>SUM((SUM(C29,-C30,-C32,-C34)*C35),(SUM(D29,-D30,-D32,-D34)*D35),(SUM(E29,-E30,-E32,-E34)*E35),(F29*F35),(SUM(G29-G30)*G35),(H29*H35),(SUM(I29,-I30,-I32,-I34)*I35),(SUM(J29,-J30,-J32,-J34)*J35),(SUM(K29,-K30)*K35),(L29*L35),(M29*M35),(SUM(-N30,-N32,-N34)*N35),(SUM(-O30,-O32,-O34)*O35),(R30*R31),(R32*R33))</f>
        <v>-846992.19963956485</v>
      </c>
      <c r="R34" s="24">
        <f>SUM(C34,D34,N34,Q34)</f>
        <v>-846992.19963956485</v>
      </c>
      <c r="S34" s="24">
        <f>SUM((SUM(I29,-I30,-I32,-I34)*I35),(SUM(J29,-J30,-J32,-J34)*J35),(SUM(K29,-K30)*K35),(SUM(-O30,-O32,-O34)*O35),(SUM(R30,R32)*R33))</f>
        <v>-1130646.0929728982</v>
      </c>
      <c r="T34" s="50">
        <f>SUM((SUM(C29,-C30,-C32,-C34)*C35),(SUM(D29,-D30,-D32,-D34)*D35),(SUM(E29,-E30,-E32,-E34)*E35),(SUM(G29,-G30)*G35),(SUM(-N30,-N32,-N34)*N35))</f>
        <v>283653.89333333337</v>
      </c>
      <c r="U34" s="29" t="s">
        <v>864</v>
      </c>
      <c r="V34" s="50">
        <f>SUM(V32,V33)</f>
        <v>-156842.5</v>
      </c>
      <c r="Y34" s="16">
        <v>2021</v>
      </c>
      <c r="Z34" s="16">
        <f>SUM(Z27,-5)</f>
        <v>10</v>
      </c>
      <c r="AA34" s="27">
        <f>SUM(AA16*1/Z34,AA17*1/Z34,AA18*1/Z34,AA19*1/Z34,AA20*1/Z34,$AA$21*1/Z34,$AA$22*1/Z34,$AA$23*1/Z34,$AA$24*1/Z34,$AA$25*1/Z34)</f>
        <v>2.8500000000000001E-2</v>
      </c>
      <c r="AB34" s="27">
        <f t="shared" si="2"/>
        <v>3.0499999999999999E-2</v>
      </c>
    </row>
    <row r="35" spans="2:28" ht="13.15" hidden="1" x14ac:dyDescent="0.25">
      <c r="B35" s="16" t="s">
        <v>769</v>
      </c>
      <c r="C35" s="4">
        <f>AB31</f>
        <v>3.3492307692307696E-2</v>
      </c>
      <c r="D35" s="4">
        <f>AB31</f>
        <v>3.3492307692307696E-2</v>
      </c>
      <c r="E35" s="4">
        <f>AB31</f>
        <v>3.3492307692307696E-2</v>
      </c>
      <c r="F35" s="21"/>
      <c r="G35" s="21">
        <f>$W$8</f>
        <v>0</v>
      </c>
      <c r="H35" s="21"/>
      <c r="I35" s="4">
        <f>AA31</f>
        <v>3.1492307692307694E-2</v>
      </c>
      <c r="J35" s="4">
        <f>AA31</f>
        <v>3.1492307692307694E-2</v>
      </c>
      <c r="K35" s="21">
        <f>W9</f>
        <v>7.0000000000000001E-3</v>
      </c>
      <c r="L35" s="21"/>
      <c r="M35" s="21"/>
      <c r="N35" s="8">
        <f>W7</f>
        <v>1.4500000000000001E-2</v>
      </c>
      <c r="O35" s="8">
        <f>W10</f>
        <v>9.4999999999999998E-3</v>
      </c>
      <c r="P35" s="21">
        <f>Q34/P34</f>
        <v>2.412961074417384E-2</v>
      </c>
      <c r="R35" s="8">
        <f>W10</f>
        <v>9.4999999999999998E-3</v>
      </c>
      <c r="U35" s="29" t="s">
        <v>865</v>
      </c>
      <c r="V35" s="50">
        <f>IF(Macrogegevens!C12&gt;0,V34,V32)</f>
        <v>-301562.5</v>
      </c>
      <c r="Y35" s="16">
        <v>2022</v>
      </c>
      <c r="Z35" s="16">
        <f>SUM(Z27,-6)</f>
        <v>9</v>
      </c>
      <c r="AA35" s="27">
        <f>SUM(AA17*1/Z35,AA18*1/Z35,AA19*1/Z35,AA20*1/Z35,AA21*1/Z35,$AA$22*1/Z35,$AA$23*1/Z35,$AA$24*1/Z35,$AA$25*1/Z35)</f>
        <v>2.6455555555555552E-2</v>
      </c>
      <c r="AB35" s="27">
        <f t="shared" si="2"/>
        <v>2.8455555555555553E-2</v>
      </c>
    </row>
    <row r="36" spans="2:28" ht="13.15" hidden="1" x14ac:dyDescent="0.25">
      <c r="B36" s="16" t="s">
        <v>585</v>
      </c>
      <c r="C36" s="9">
        <f>C29/Z29</f>
        <v>310600</v>
      </c>
      <c r="D36" s="9">
        <f>D29/Z29</f>
        <v>216066.66666666666</v>
      </c>
      <c r="E36" s="9">
        <f>E29/Z29</f>
        <v>89733.333333333328</v>
      </c>
      <c r="F36" s="14"/>
      <c r="G36" s="14"/>
      <c r="H36" s="14"/>
      <c r="I36" s="49">
        <f>I29/Z29</f>
        <v>-2406466.6666666665</v>
      </c>
      <c r="J36" s="49">
        <f>J29/Z29</f>
        <v>-203533.33333333334</v>
      </c>
      <c r="K36" s="14"/>
      <c r="L36" s="14"/>
      <c r="M36" s="14"/>
      <c r="N36" s="62">
        <f>SUM(-C36,-D36)</f>
        <v>-526666.66666666663</v>
      </c>
      <c r="O36" s="14">
        <f>-SUM(C36,D36,E36,I36,J36,N36)</f>
        <v>2520266.6666666665</v>
      </c>
      <c r="P36" s="24">
        <f>SUM(P34,R36)</f>
        <v>-35887757.170514531</v>
      </c>
      <c r="Q36" s="24">
        <f>SUM((SUM(C29,-C30,-C32,-C34,-C36)*C37),(SUM(D29,-D30,-D32,-D34,-D36)*D37),(SUM(E29,-E30,-E32,-E34,-E36)*E37),(F29*F37),(SUM(G29,-G30)*G37),(H29*H37),(SUM(I29,-I30,-I32,-I34,-I36)*I37),(SUM(J29,-J30,-J32,-J34,-J36)*J37),(SUM(K29,-K30)*K37),(L29*L37),(M29*M37),(SUM(-N30,-N32,-N34,-N36)*N37),(SUM(-O30,-O32,-O34,-O36)*O37),(R30*R31),(R32*R33),(R34*R35))</f>
        <v>-785980.82527973049</v>
      </c>
      <c r="R36" s="24">
        <f>SUM(C36,D36,N36,Q36)</f>
        <v>-785980.82527973049</v>
      </c>
      <c r="S36" s="24">
        <f>SUM((SUM(I29,-I30,-I32,-I34,-I36)*I37),(SUM(J29,-J30,-J32,-J34,-J36)*J37),(SUM(K29,-K30)*K37),(SUM(-O30,-O32,-O34,-O36)*O37),(SUM(R30,R32,R34)*R35))</f>
        <v>-1048362.2252797305</v>
      </c>
      <c r="T36" s="50">
        <f>SUM((SUM(C29,-C30,-C32,-C34,-C36)*C37),(SUM(D29,-D30,-D32,-D34,-D36)*D37),(SUM(E29,-E30,-E32,-E34,-E36)*E37),(SUM(G29,-G30)*G37),(SUM(-N30,-N32,-N34,-N36)*N37))</f>
        <v>262381.40000000002</v>
      </c>
      <c r="U36" s="24"/>
      <c r="Y36" s="16">
        <v>2023</v>
      </c>
      <c r="Z36" s="16">
        <f>SUM(Z27,-7)</f>
        <v>8</v>
      </c>
      <c r="AA36" s="27">
        <f>SUM(AA18*1/Z36,AA19*1/Z36,AA20*1/Z36,AA21*1/Z36,AA22*1/Z36,$AA$23*1/Z36,$AA$24*1/Z36,$AA$25*1/Z36)</f>
        <v>2.3975000000000003E-2</v>
      </c>
      <c r="AB36" s="27">
        <f t="shared" si="2"/>
        <v>2.5975000000000005E-2</v>
      </c>
    </row>
    <row r="37" spans="2:28" ht="13.15" hidden="1" x14ac:dyDescent="0.25">
      <c r="B37" s="16" t="s">
        <v>770</v>
      </c>
      <c r="C37" s="4">
        <f>AB32</f>
        <v>3.2375000000000001E-2</v>
      </c>
      <c r="D37" s="4">
        <f>AB32</f>
        <v>3.2375000000000001E-2</v>
      </c>
      <c r="E37" s="4">
        <f>AB32</f>
        <v>3.2375000000000001E-2</v>
      </c>
      <c r="F37" s="21"/>
      <c r="G37" s="21">
        <f>$W$8</f>
        <v>0</v>
      </c>
      <c r="H37" s="21"/>
      <c r="I37" s="4">
        <f>AA32</f>
        <v>3.0374999999999999E-2</v>
      </c>
      <c r="J37" s="4">
        <f>AA32</f>
        <v>3.0374999999999999E-2</v>
      </c>
      <c r="K37" s="21">
        <f>W9</f>
        <v>7.0000000000000001E-3</v>
      </c>
      <c r="L37" s="21"/>
      <c r="M37" s="21"/>
      <c r="N37" s="8">
        <f>W7</f>
        <v>1.4500000000000001E-2</v>
      </c>
      <c r="O37" s="8">
        <f>W10</f>
        <v>9.4999999999999998E-3</v>
      </c>
      <c r="P37" s="21">
        <f>Q36/P36</f>
        <v>2.1901085140129464E-2</v>
      </c>
      <c r="R37" s="8">
        <f>W10</f>
        <v>9.4999999999999998E-3</v>
      </c>
      <c r="Y37" s="16">
        <v>2024</v>
      </c>
      <c r="Z37" s="16">
        <f>SUM(Z27,-8)</f>
        <v>7</v>
      </c>
      <c r="AA37" s="27">
        <f>SUM(AA19*1/Z37,AA20*1/Z37,AA21*1/Z37,AA22*1/Z37,AA23*1/Z37,$AA$24*1/Z37,$AA$25*1/Z37)</f>
        <v>2.1557142857142858E-2</v>
      </c>
      <c r="AB37" s="27">
        <f t="shared" si="2"/>
        <v>2.355714285714286E-2</v>
      </c>
    </row>
    <row r="38" spans="2:28" ht="13.15" hidden="1" x14ac:dyDescent="0.25">
      <c r="B38" s="16" t="s">
        <v>630</v>
      </c>
      <c r="C38" s="9">
        <f>C29/Z29</f>
        <v>310600</v>
      </c>
      <c r="D38" s="9">
        <f>D29/Z29</f>
        <v>216066.66666666666</v>
      </c>
      <c r="E38" s="9">
        <f>E29/Z29</f>
        <v>89733.333333333328</v>
      </c>
      <c r="F38" s="14"/>
      <c r="G38" s="14"/>
      <c r="H38" s="14"/>
      <c r="I38" s="49">
        <f>I29/Z29</f>
        <v>-2406466.6666666665</v>
      </c>
      <c r="J38" s="49">
        <f>J29/Z29</f>
        <v>-203533.33333333334</v>
      </c>
      <c r="K38" s="14"/>
      <c r="L38" s="14"/>
      <c r="M38" s="14"/>
      <c r="N38" s="62">
        <f>SUM(-C38,-D38)</f>
        <v>-526666.66666666663</v>
      </c>
      <c r="O38" s="14">
        <f>-SUM(C38,D38,E38,I38,J38,N38)</f>
        <v>2520266.6666666665</v>
      </c>
      <c r="P38" s="24">
        <f>SUM(P36,R38)</f>
        <v>-36625322.783028357</v>
      </c>
      <c r="Q38" s="25">
        <f>SUM((SUM(C29,-C30,-C32,-C34,-C36,-C38)*C39),(SUM(D29,-D30,-D32,-D34,-D36,-D38)*D39),(SUM(E29,-E30,-E32,-E34,-E36,-E38)*E39),(F29*F39),(SUM(G29,-G30)*G39),(H29*H39),(SUM(I29,-I30,-I32,-I34,-I36,-I38)*I39),(SUM(J29,-J30,-J32,-J34,-J36,-J38)*J39),(SUM(K29,-K30)*K39),(L29*L39),(M29*M39),(SUM(-N30,-N32,-N34,-N36,-N38)*N39),(SUM(-O30,-O32,-O34,-O36,-O38)*O39),(R30*R31),(R32*R33),(R34*R35),(R36*R37))</f>
        <v>-737565.61251382728</v>
      </c>
      <c r="R38" s="24">
        <f>SUM(C38,D38,N38,Q38)</f>
        <v>-737565.61251382728</v>
      </c>
      <c r="S38" s="24">
        <f>SUM((SUM(I29,-I30,-I32,-I34,-I36,-I38)*I39),(SUM(J29,-J30,-J32,-J34,-J36,-J38)*J39),(SUM(K29,-K30)*K39),(SUM(-O30,-O32,-O34,-O36,-O38)*O39),(SUM(R30,R32,R34,R36)*R37))</f>
        <v>-983112.59918049397</v>
      </c>
      <c r="T38" s="50">
        <f>SUM((SUM(C29,-C30,-C32,-C34,-C36,-C38)*C39),(SUM(D29,-D30,-D32,-D34,-D36,-D38)*D39),(SUM(E29,-E30,-E32,-E34,-E36,-E38)*E39),(SUM(G29,-G30)*G39),(SUM(-N30,-N32,-N34,-N36,-N38)*N39))</f>
        <v>245546.98666666669</v>
      </c>
      <c r="U38" s="24"/>
      <c r="Y38" s="16">
        <v>2025</v>
      </c>
      <c r="Z38" s="16">
        <f>SUM(Z27,-9)</f>
        <v>6</v>
      </c>
      <c r="AA38" s="27">
        <f>SUM(AA20*1/Z38,AA21*1/Z38,AA22*1/Z38,AA23*1/Z38,AA24*1/Z38,$AA$25*1/Z38)</f>
        <v>1.9500000000000003E-2</v>
      </c>
      <c r="AB38" s="27">
        <f t="shared" si="2"/>
        <v>2.1500000000000005E-2</v>
      </c>
    </row>
    <row r="39" spans="2:28" ht="13.15" hidden="1" x14ac:dyDescent="0.25">
      <c r="B39" s="16" t="s">
        <v>586</v>
      </c>
      <c r="C39" s="4">
        <f>AB33</f>
        <v>3.1709090909090909E-2</v>
      </c>
      <c r="D39" s="4">
        <f>AB33</f>
        <v>3.1709090909090909E-2</v>
      </c>
      <c r="E39" s="4">
        <f>AB33</f>
        <v>3.1709090909090909E-2</v>
      </c>
      <c r="F39" s="21"/>
      <c r="G39" s="21">
        <f>$W$8</f>
        <v>0</v>
      </c>
      <c r="H39" s="21"/>
      <c r="I39" s="4">
        <f>AA33</f>
        <v>2.9709090909090907E-2</v>
      </c>
      <c r="J39" s="4">
        <f>AA33</f>
        <v>2.9709090909090907E-2</v>
      </c>
      <c r="K39" s="21">
        <f>W9</f>
        <v>7.0000000000000001E-3</v>
      </c>
      <c r="L39" s="21"/>
      <c r="M39" s="21"/>
      <c r="N39" s="8">
        <f>W7</f>
        <v>1.4500000000000001E-2</v>
      </c>
      <c r="O39" s="8">
        <f>W10</f>
        <v>9.4999999999999998E-3</v>
      </c>
      <c r="P39" s="21">
        <f>Q38/P38</f>
        <v>2.01381327581256E-2</v>
      </c>
      <c r="R39" s="8">
        <f>W10</f>
        <v>9.4999999999999998E-3</v>
      </c>
    </row>
    <row r="40" spans="2:28" ht="13.15" hidden="1" x14ac:dyDescent="0.25">
      <c r="B40" s="16" t="s">
        <v>771</v>
      </c>
      <c r="C40" s="9">
        <f>C29/Z29</f>
        <v>310600</v>
      </c>
      <c r="D40" s="9">
        <f>D29/Z29</f>
        <v>216066.66666666666</v>
      </c>
      <c r="E40" s="9">
        <f>E29/Z29</f>
        <v>89733.333333333328</v>
      </c>
      <c r="F40" s="14"/>
      <c r="G40" s="14"/>
      <c r="H40" s="14"/>
      <c r="I40" s="49">
        <f>I29/Z29</f>
        <v>-2406466.6666666665</v>
      </c>
      <c r="J40" s="49">
        <f>J29/Z29</f>
        <v>-203533.33333333334</v>
      </c>
      <c r="K40" s="14"/>
      <c r="L40" s="14"/>
      <c r="M40" s="14"/>
      <c r="N40" s="62">
        <f>SUM(-C40,-D40)</f>
        <v>-526666.66666666663</v>
      </c>
      <c r="O40" s="14">
        <f>-SUM(C40,D40,E40,I40,J40,N40)</f>
        <v>2520266.6666666665</v>
      </c>
      <c r="P40" s="24">
        <f>SUM(P38,R40)</f>
        <v>-37307257.182800457</v>
      </c>
      <c r="Q40" s="25">
        <f>SUM((SUM(C29,-C30,-C32,-C34,-C36,-C38,-C40)*C41),(SUM(D29,-D30,-D32,-D34,-D36,-D38,-D40)*D41),(SUM(E29,-E30,-E32,-E34,-E36,-E38,-E40)*E41),(F29*F41),(SUM(G29,-G30)*G41),(H29*H41),(SUM(I29,-I30,-I32,-I34,-I36,-I38,-I40)*I41),(SUM(J29,-J30,-J32,-J34,-J36,-J38,-J40)*J41),(SUM(K29,-K30)*K41),(L29*L41),(M29*M41),(SUM(-N30,-N32,-N34,-N36,-N38,-N40)*N41),(SUM(-O30,-O32,-O34,-O36,-O38,-O40)*O41),(R30*R31),(R32*R33),(R34*R35),(R36*R37),(R38*R39))</f>
        <v>-681934.39977210271</v>
      </c>
      <c r="R40" s="24">
        <f>SUM(C40,D40,N40,Q40)</f>
        <v>-681934.39977210271</v>
      </c>
      <c r="S40" s="24">
        <f>SUM((SUM(I29,-I30,-I32,-I34,-I36,-I38,-I40)*I41),(SUM(J29,-J30,-J32,-J34,-J36,-J38,-J40)*J41),(SUM(K29,-K30)*K41),(SUM(-O30,-O32,-O34,-O36,-O38,-O40)*O41),(SUM(R30,R32,R34,R36,R38)*R39))</f>
        <v>-908119.73310543608</v>
      </c>
      <c r="T40" s="50">
        <f>SUM((SUM(C29,-C30,-C32,-C34,-C36,-C38,-C40)*C41),(SUM(D29,-D30,-D32,-D34,-D36,-D38,-D40)*D41),(SUM(E29,-E30,-E32,-E34,-E36,-E38,-E40)*E41),(SUM(G29,-G30)*G41),(SUM(-N30,-N32,-N34,-N36,-N38,-N40)*N41))</f>
        <v>226185.33333333337</v>
      </c>
      <c r="U40" s="24"/>
    </row>
    <row r="41" spans="2:28" ht="13.15" hidden="1" x14ac:dyDescent="0.25">
      <c r="B41" s="16" t="s">
        <v>772</v>
      </c>
      <c r="C41" s="4">
        <f>AB34</f>
        <v>3.0499999999999999E-2</v>
      </c>
      <c r="D41" s="4">
        <f>AB34</f>
        <v>3.0499999999999999E-2</v>
      </c>
      <c r="E41" s="4">
        <f>AB34</f>
        <v>3.0499999999999999E-2</v>
      </c>
      <c r="F41" s="21"/>
      <c r="G41" s="21">
        <f>$W$8</f>
        <v>0</v>
      </c>
      <c r="H41" s="21"/>
      <c r="I41" s="4">
        <f>AA34</f>
        <v>2.8500000000000001E-2</v>
      </c>
      <c r="J41" s="4">
        <f>AA34</f>
        <v>2.8500000000000001E-2</v>
      </c>
      <c r="K41" s="21">
        <f>W9</f>
        <v>7.0000000000000001E-3</v>
      </c>
      <c r="L41" s="21"/>
      <c r="M41" s="21"/>
      <c r="N41" s="8">
        <f>W7</f>
        <v>1.4500000000000001E-2</v>
      </c>
      <c r="O41" s="8">
        <f>W10</f>
        <v>9.4999999999999998E-3</v>
      </c>
      <c r="P41" s="21">
        <f>Q40/P40</f>
        <v>1.8278867203523362E-2</v>
      </c>
      <c r="R41" s="8">
        <f>W10</f>
        <v>9.4999999999999998E-3</v>
      </c>
    </row>
    <row r="42" spans="2:28" ht="13.15" hidden="1" x14ac:dyDescent="0.25">
      <c r="B42" s="16" t="s">
        <v>773</v>
      </c>
      <c r="C42" s="9">
        <f>C29/Z29</f>
        <v>310600</v>
      </c>
      <c r="D42" s="9">
        <f>D29/Z29</f>
        <v>216066.66666666666</v>
      </c>
      <c r="E42" s="9">
        <f>E29/Z29</f>
        <v>89733.333333333328</v>
      </c>
      <c r="F42" s="14"/>
      <c r="G42" s="14"/>
      <c r="H42" s="14"/>
      <c r="I42" s="49">
        <f>I29/Z29</f>
        <v>-2406466.6666666665</v>
      </c>
      <c r="J42" s="49">
        <f>J29/Z29</f>
        <v>-203533.33333333334</v>
      </c>
      <c r="K42" s="14"/>
      <c r="L42" s="14"/>
      <c r="M42" s="14"/>
      <c r="N42" s="62">
        <f>SUM(-C42,-D42)</f>
        <v>-526666.66666666663</v>
      </c>
      <c r="O42" s="14">
        <f>-SUM(C42,D42,E42,I42,J42,N42)</f>
        <v>2520266.6666666665</v>
      </c>
      <c r="P42" s="24">
        <f>SUM(P40,R42)</f>
        <v>-37925044.786037058</v>
      </c>
      <c r="Q42" s="25">
        <f>SUM((SUM(C29,-C30,-C32,-C34,-C36,-C38,-C40,-C42)*C43),(SUM(D29,-D30,-D32,-D34,-D36,-D38,-D40,-D42)*D43),(SUM(E29,-E30,-E32,-E34,-E36,-E38,-E40,-E42)*E43),(F29*F43),(SUM(G29,-G30)*G43),(H29*H43),(SUM(I29,-I30,-I32,-I34,-I36,-I38,-I40,-I42)*I43),(SUM(J29,-J30,-J32,-J34,-J36,-J38,-J40,-J42)*J43),(SUM(K29,-K30)*K43),(L29*L43),(M29*M43),(SUM(-N30,-N32,-N34,-N36,-N38,-N40,-N42)*N43),(SUM(-O30,-O32,-O34,-O36,-O38,-O40,-O42)*O43),(R30*R31),(R32*R33),(R34*R35),(R36*R37),(R38*R39),(R40*R41))</f>
        <v>-617787.60323660425</v>
      </c>
      <c r="R42" s="24">
        <f>SUM(C42,D42,N42,Q42)</f>
        <v>-617787.60323660425</v>
      </c>
      <c r="S42" s="24">
        <f>SUM((SUM(I29,-I30,-I32,-I34,-I36,-I38,-I40,-I42)*I43),(SUM(J29,-J30,-J32,-J34,-J36,-J38,-J40,-J42)*J43),(SUM(K29,-K30)*K43),(SUM(-O30,-O32,-O34,-O36,-O38,-O40,-O42)*O43),(SUM(R30,R32,R34,R36,R38,R40)*R41))</f>
        <v>-821467.64323660417</v>
      </c>
      <c r="T42" s="50">
        <f>SUM((SUM(C29,-C30,-C32,-C34,-C36,-C38,-C40,-C42)*C43),(SUM(D29,-D30,-D32,-D34,-D36,-D38,-D40,-D42)*D43),(SUM(E29,-E30,-E32,-E34,-E36,-E38,-E40,-E42)*E43),(SUM(G29,-G30)*G43),(SUM(-N30,-N32,-N34,-N36,-N38,-N40,-N42)*N43))</f>
        <v>203680.04</v>
      </c>
      <c r="U42" s="24"/>
    </row>
    <row r="43" spans="2:28" ht="13.15" hidden="1" x14ac:dyDescent="0.25">
      <c r="B43" s="16" t="s">
        <v>774</v>
      </c>
      <c r="C43" s="4">
        <f>AB35</f>
        <v>2.8455555555555553E-2</v>
      </c>
      <c r="D43" s="4">
        <f>AB35</f>
        <v>2.8455555555555553E-2</v>
      </c>
      <c r="E43" s="4">
        <f>AB35</f>
        <v>2.8455555555555553E-2</v>
      </c>
      <c r="F43" s="21"/>
      <c r="G43" s="21">
        <f>$W$8</f>
        <v>0</v>
      </c>
      <c r="H43" s="21"/>
      <c r="I43" s="4">
        <f>AA35</f>
        <v>2.6455555555555552E-2</v>
      </c>
      <c r="J43" s="4">
        <f>AA35</f>
        <v>2.6455555555555552E-2</v>
      </c>
      <c r="K43" s="21">
        <f>W9</f>
        <v>7.0000000000000001E-3</v>
      </c>
      <c r="L43" s="21"/>
      <c r="M43" s="21"/>
      <c r="N43" s="8">
        <f>W7</f>
        <v>1.4500000000000001E-2</v>
      </c>
      <c r="O43" s="8">
        <f>W10</f>
        <v>9.4999999999999998E-3</v>
      </c>
      <c r="P43" s="21">
        <f>Q42/P42</f>
        <v>1.628970003125893E-2</v>
      </c>
      <c r="R43" s="8">
        <f>W10</f>
        <v>9.4999999999999998E-3</v>
      </c>
    </row>
    <row r="44" spans="2:28" ht="13.15" hidden="1" x14ac:dyDescent="0.25">
      <c r="B44" s="16" t="s">
        <v>587</v>
      </c>
      <c r="C44" s="9">
        <f>C29/Z29</f>
        <v>310600</v>
      </c>
      <c r="D44" s="9">
        <f>D29/Z29</f>
        <v>216066.66666666666</v>
      </c>
      <c r="E44" s="9">
        <f>E29/Z29</f>
        <v>89733.333333333328</v>
      </c>
      <c r="F44" s="14"/>
      <c r="G44" s="14"/>
      <c r="H44" s="14"/>
      <c r="I44" s="49">
        <f>I29/Z29</f>
        <v>-2406466.6666666665</v>
      </c>
      <c r="J44" s="49">
        <f>J29/Z29</f>
        <v>-203533.33333333334</v>
      </c>
      <c r="K44" s="14"/>
      <c r="L44" s="14"/>
      <c r="M44" s="14"/>
      <c r="N44" s="62">
        <f>SUM(-C44,-D44)</f>
        <v>-526666.66666666663</v>
      </c>
      <c r="O44" s="14">
        <f>-SUM(C44,D44,E44,I44,J44,N44)</f>
        <v>2520266.6666666665</v>
      </c>
      <c r="P44" s="24">
        <f>SUM(P42,R44)</f>
        <v>-38480410.608171076</v>
      </c>
      <c r="Q44" s="25">
        <f>SUM((SUM(C29,-C30,-C32,-C34,-C36,-C38,-C40,-C42,-C44)*C45),(SUM(D29,-D30,-D32,-D34,-D36,-D38,-D40,-D42,-D44)*D45),(SUM(E29,-E30,-E32,-E34,-E36,-E38,-E40,-E42,-E44)*E45),(F29*F45),(SUM(G29,-G30)*G45),(H29*H45),(SUM(I29,-I30,-I32,-I34,-I36,-I38,-I40,-I42,-I44)*I45),(SUM(J29,-J30,-J32,-J34,-J36,-J38,-J40,-J42,-J44)*J45),(SUM(K29,-K30)*K45),(L29*L45),(M29*M45),(SUM(-N30,-N32,-N34,-N36,-N38,-N40,-N42,-N44)*N45),(SUM(-O30,-O32,-O34,-O36,-O38,-O40,-O42,-O44)*O45),(R30*R31),(R32*R33),(R34*R35),(R36*R37),(R38*R39),(R40*R41),(R42*R43))</f>
        <v>-555365.82213401864</v>
      </c>
      <c r="R44" s="24">
        <f>SUM(C44,D44,N44,Q44)</f>
        <v>-555365.82213401864</v>
      </c>
      <c r="S44" s="24">
        <f>SUM((SUM(I29,-I30,-I32,-I34,-I36,-I38,-I40,-I42,-I44)*I45),(SUM(J29,-J30,-J32,-J34,-J36,-J38,-J40,-J42,-J44)*J45),(SUM(K29,-K30)*K45),(SUM(-O30,-O32,-O34,-O36,-O38,-O40,-O42,-O44)*O45),(SUM(R30,R32,R34,R36,R38,R40,R42)*R43))</f>
        <v>-736910.40880068543</v>
      </c>
      <c r="T44" s="50">
        <f>SUM((SUM(C29,-C30,-C32,-C34,-C36,-C38,-C40,-C42,-C44)*C45),(SUM(D29,-D30,-D32,-D34,-D36,-D38,-D40,-D42,-D44)*D45),(SUM(E29,-E30,-E32,-E34,-E36,-E38,-E40,-E42,-E44)*E45),(SUM(G29,-G30)*G45),(SUM(-N30,-N32,-N34,-N36,-N38,-N40,-N42,-N44)*N45))</f>
        <v>181544.5866666667</v>
      </c>
      <c r="U44" s="24"/>
    </row>
    <row r="45" spans="2:28" ht="13.15" hidden="1" x14ac:dyDescent="0.25">
      <c r="B45" s="16" t="s">
        <v>588</v>
      </c>
      <c r="C45" s="4">
        <f>AB36</f>
        <v>2.5975000000000005E-2</v>
      </c>
      <c r="D45" s="4">
        <f>AB36</f>
        <v>2.5975000000000005E-2</v>
      </c>
      <c r="E45" s="4">
        <f>AB36</f>
        <v>2.5975000000000005E-2</v>
      </c>
      <c r="F45" s="21"/>
      <c r="G45" s="21">
        <f>$W$8</f>
        <v>0</v>
      </c>
      <c r="H45" s="21"/>
      <c r="I45" s="4">
        <f>AA36</f>
        <v>2.3975000000000003E-2</v>
      </c>
      <c r="J45" s="4">
        <f>AA36</f>
        <v>2.3975000000000003E-2</v>
      </c>
      <c r="K45" s="21">
        <f>W9</f>
        <v>7.0000000000000001E-3</v>
      </c>
      <c r="L45" s="21"/>
      <c r="M45" s="21"/>
      <c r="N45" s="8">
        <f>W7</f>
        <v>1.4500000000000001E-2</v>
      </c>
      <c r="O45" s="8">
        <f>W10</f>
        <v>9.4999999999999998E-3</v>
      </c>
      <c r="P45" s="21">
        <f>Q44/P44</f>
        <v>1.443242973130048E-2</v>
      </c>
      <c r="R45" s="8">
        <f>W10</f>
        <v>9.4999999999999998E-3</v>
      </c>
    </row>
    <row r="46" spans="2:28" ht="13.15" hidden="1" x14ac:dyDescent="0.25">
      <c r="B46" s="16" t="s">
        <v>632</v>
      </c>
      <c r="C46" s="9">
        <f>C29/Z29</f>
        <v>310600</v>
      </c>
      <c r="D46" s="9">
        <f>D29/Z29</f>
        <v>216066.66666666666</v>
      </c>
      <c r="E46" s="9">
        <f>E29/Z29</f>
        <v>89733.333333333328</v>
      </c>
      <c r="F46" s="14"/>
      <c r="G46" s="14"/>
      <c r="H46" s="14"/>
      <c r="I46" s="49">
        <f>I29/Z29</f>
        <v>-2406466.6666666665</v>
      </c>
      <c r="J46" s="49">
        <f>J29/Z29</f>
        <v>-203533.33333333334</v>
      </c>
      <c r="K46" s="14"/>
      <c r="L46" s="14"/>
      <c r="M46" s="14"/>
      <c r="N46" s="62">
        <f>SUM(-C46,-D46)</f>
        <v>-526666.66666666663</v>
      </c>
      <c r="O46" s="14">
        <f>-SUM(C46,D46,E46,I46,J46,N46)</f>
        <v>2520266.6666666665</v>
      </c>
      <c r="P46" s="24">
        <f>SUM(P44,R46)</f>
        <v>-38983363.439424895</v>
      </c>
      <c r="Q46" s="25">
        <f>SUM((SUM(C29,-C30,-C32,-C34,-C36,-C38,-C40,-C42,-C44,-C46)*C47),(SUM(D29,-D30,-D32,-D34,-D36,-D38,-D40,-D42,-D44,-D46)*D47),(SUM(E29,-E30,-E32,-E34,-E36,-E38,-E40,-E42,-E44,-E46)*E47),(F29*F47),(SUM(G29,-G30)*G47),(H29*H47),(SUM(I29,-I30,-I32,-I34,-I36,-I38,-I40,-I42,-I44,-I46)*I47),(SUM(J29,-J30,-J32,-J34,-J36,-J38,-J40,-J42,-J44,-J46)*J47),(SUM(K29,-K30)*K47),(L29*L47),(M29*M47),(SUM(-N30,-N32,-N34,-N36,-N38,-N40,-N42,-N44,-N46)*N47),(SUM(-O30,-O32,-O34,-O36,-O38,-O40,-O42,-O44,-O46)*O47),(R30*R31),(R32*R33),(R34*R35),(R36*R37),(R38*R39),(R40*R41),(R42*R43),(R44*R45))</f>
        <v>-502952.83125381579</v>
      </c>
      <c r="R46" s="24">
        <f>SUM(C46,D46,N46,Q46)</f>
        <v>-502952.83125381579</v>
      </c>
      <c r="S46" s="24">
        <f>SUM((SUM(I29,-I30,-I32,-I34,-I36,-I38,-I40,-I42,-I44,-I46)*I47),(SUM(J29,-J30,-J32,-J34,-J36,-J38,-J40,-J42,-J44,-J46)*J47),(SUM(K29,-K30)*K47),(SUM(-O30,-O32,-O34,-O36,-O38,-O40,-O42,-O44,-O46)*O47),(SUM(R30,R32,R34,R36,R38,R40,R42,R44)*R45))</f>
        <v>-665690.52458714903</v>
      </c>
      <c r="T46" s="50">
        <f>SUM((SUM(C29,-C30,-C32,-C34,-C36,-C38,-C40,-C42,-C44,-C46)*C47),(SUM(D29,-D30,-D32,-D34,-D36,-D38,-D40,-D42,-D44,-D46)*D47),(SUM(E29,-E30,-E32,-E34,-E36,-E38,-E40,-E42,-E44,-E46)*E47),(SUM(G29-G30)*G47),(SUM(-N30,-N32,-N34,-N36,-N38,-N40,-N42,-N44,-N46)*N47))</f>
        <v>162737.69333333336</v>
      </c>
      <c r="U46" s="24"/>
    </row>
    <row r="47" spans="2:28" ht="13.15" hidden="1" x14ac:dyDescent="0.25">
      <c r="B47" s="16" t="s">
        <v>633</v>
      </c>
      <c r="C47" s="4">
        <f>AB37</f>
        <v>2.355714285714286E-2</v>
      </c>
      <c r="D47" s="4">
        <f>AB37</f>
        <v>2.355714285714286E-2</v>
      </c>
      <c r="E47" s="4">
        <f>AB37</f>
        <v>2.355714285714286E-2</v>
      </c>
      <c r="F47" s="21"/>
      <c r="G47" s="21">
        <f>$W$8</f>
        <v>0</v>
      </c>
      <c r="H47" s="21"/>
      <c r="I47" s="4">
        <f>AA37</f>
        <v>2.1557142857142858E-2</v>
      </c>
      <c r="J47" s="4">
        <f>AA37</f>
        <v>2.1557142857142858E-2</v>
      </c>
      <c r="K47" s="21">
        <f>W9</f>
        <v>7.0000000000000001E-3</v>
      </c>
      <c r="L47" s="21"/>
      <c r="M47" s="21"/>
      <c r="N47" s="8">
        <f>W7</f>
        <v>1.4500000000000001E-2</v>
      </c>
      <c r="O47" s="8">
        <f>W10</f>
        <v>9.4999999999999998E-3</v>
      </c>
      <c r="P47" s="21">
        <f>Q46/P46</f>
        <v>1.2901730042748605E-2</v>
      </c>
      <c r="R47" s="8">
        <f>W10</f>
        <v>9.4999999999999998E-3</v>
      </c>
    </row>
    <row r="48" spans="2:28" ht="13.15" hidden="1" x14ac:dyDescent="0.25">
      <c r="B48" s="16" t="s">
        <v>775</v>
      </c>
      <c r="C48" s="9">
        <f>C29/Z29</f>
        <v>310600</v>
      </c>
      <c r="D48" s="9">
        <f>D29/Z29</f>
        <v>216066.66666666666</v>
      </c>
      <c r="E48" s="9">
        <f>E29/Z29</f>
        <v>89733.333333333328</v>
      </c>
      <c r="F48" s="3"/>
      <c r="G48" s="3"/>
      <c r="H48" s="3"/>
      <c r="I48" s="49">
        <f>I29/Z29</f>
        <v>-2406466.6666666665</v>
      </c>
      <c r="J48" s="49">
        <f>J29/Z29</f>
        <v>-203533.33333333334</v>
      </c>
      <c r="K48" s="3"/>
      <c r="L48" s="3"/>
      <c r="M48" s="3"/>
      <c r="N48" s="62">
        <f>SUM(-C48,-D48)</f>
        <v>-526666.66666666663</v>
      </c>
      <c r="O48" s="14">
        <f>-SUM(C48,D48,E48,I48,J48,N48)</f>
        <v>2520266.6666666665</v>
      </c>
      <c r="P48" s="24">
        <f>SUM(P46,R48)</f>
        <v>-39446419.092099428</v>
      </c>
      <c r="Q48" s="25">
        <f>SUM((SUM(C29,-C30,-C32,-C34,-C36,-C38,-C40,-C42,-C44,-C46,-C48)*C49),(SUM(D29,-D30,-D32,-D34,-D36,-D38,-D40,-D42,-D44,-D46,-D48)*D49),(SUM(E29,-E30,-E32,-E34,-E36,-E38,-E40,-E42,-E44,-E46,-E48)*E49),(F29*F49),(SUM(G29,-G30)*G49),(H29*H49),(SUM(I29,-I30,-I32,-I34,-I36,-I38,-I40,-I42,-I44,-I46,-I48)*I49),(SUM(J29,-J30,-J32,-J34,-J36,-J38,-J40,-J42,-J44,-J46,-J48)*J49),(SUM(K29,-K30)*K49),(L29*L49),(M29*M49),(SUM(-N30,-N32,-N34,-N36,-N38,-N40,-N42,-N44,-N46,-N48)*N49),(SUM(-O30,-O32,-O34,-O36,-O38,-O40,-O42,-O44,-O46,-O48)*O49),(R30*R31),(R32*R33),(R34*R35),(R36*R37),(R38*R39),(R40*R41),(R42*R43),(R44*R45),(R46*R47))</f>
        <v>-463055.65267453645</v>
      </c>
      <c r="R48" s="24">
        <f>SUM(C48,D48,N48,Q48)</f>
        <v>-463055.65267453645</v>
      </c>
      <c r="S48" s="24">
        <f>SUM((SUM(I29,-I30,-I32,-I34,-I36,-I38,-I40,-I42,-I44,-I46,-I48)*I49),(SUM(J29,-J30,-J32,-J34,-J36,-J38,-J40,-J42,-J44,-J46,-J48)*J49),(SUM(K29,-K30)*K49),(SUM(-O30,-O32,-O34,-O36,-O38,-O40,-O42,-O44,-O46,-O48)*O49),(SUM(R30,R32,R34,R36,R38,R40,R42,R44,R46)*R47))</f>
        <v>-611301.25267453655</v>
      </c>
      <c r="T48" s="50">
        <f>SUM((SUM(C29,-C30,-C32,-C34,-C36,-C38,-C40,-C42,-C44,-C46,-C48)*C49),(SUM(D29,-D30,-D32,-D34,-D36,-D38,-D40,-D42,-D44,-D46,-D48)*D49),(SUM(E29,-E30,-E32,-E34,-E36,-E38,-E40,-E42,-E44,-E46,-E48)*E49),(SUM(G29,-G30)*G49),(SUM(-N30,-N32,-N34,-N36,-N38,-N40,-N42,-N44,-N46,-N48)*N49))</f>
        <v>148245.60000000003</v>
      </c>
      <c r="U48" s="24"/>
    </row>
    <row r="49" spans="1:26" ht="13.15" hidden="1" x14ac:dyDescent="0.25">
      <c r="B49" s="16" t="s">
        <v>776</v>
      </c>
      <c r="C49" s="4">
        <f>AB38</f>
        <v>2.1500000000000005E-2</v>
      </c>
      <c r="D49" s="4">
        <f>AB38</f>
        <v>2.1500000000000005E-2</v>
      </c>
      <c r="E49" s="4">
        <f>AB38</f>
        <v>2.1500000000000005E-2</v>
      </c>
      <c r="F49" s="21"/>
      <c r="G49" s="21">
        <f>$W$8</f>
        <v>0</v>
      </c>
      <c r="H49" s="21"/>
      <c r="I49" s="4">
        <f>AA38</f>
        <v>1.9500000000000003E-2</v>
      </c>
      <c r="J49" s="4">
        <f>AA38</f>
        <v>1.9500000000000003E-2</v>
      </c>
      <c r="K49" s="21">
        <f>W9</f>
        <v>7.0000000000000001E-3</v>
      </c>
      <c r="L49" s="21"/>
      <c r="M49" s="21"/>
      <c r="N49" s="8">
        <f>W7</f>
        <v>1.4500000000000001E-2</v>
      </c>
      <c r="O49" s="8">
        <f>W10</f>
        <v>9.4999999999999998E-3</v>
      </c>
      <c r="P49" s="21">
        <f>Q48/P48</f>
        <v>1.1738851417498631E-2</v>
      </c>
    </row>
    <row r="50" spans="1:26" s="5" customFormat="1" ht="13.15" hidden="1" x14ac:dyDescent="0.25">
      <c r="C50" s="9"/>
      <c r="D50" s="9"/>
      <c r="E50" s="9"/>
      <c r="F50" s="9"/>
      <c r="G50" s="9"/>
      <c r="H50" s="9"/>
      <c r="I50" s="9"/>
      <c r="J50" s="9"/>
      <c r="K50" s="9"/>
      <c r="L50" s="9"/>
      <c r="M50" s="9"/>
      <c r="N50" s="14"/>
      <c r="O50" s="3"/>
      <c r="P50" s="14"/>
      <c r="Q50" s="3"/>
      <c r="R50" s="3"/>
      <c r="S50" s="3"/>
      <c r="T50" s="3"/>
      <c r="U50" s="3"/>
      <c r="V50" s="3"/>
      <c r="Z50" s="16"/>
    </row>
    <row r="51" spans="1:26" s="3" customFormat="1" ht="14.25" hidden="1" customHeight="1" x14ac:dyDescent="0.25">
      <c r="A51" s="2" t="s">
        <v>66</v>
      </c>
      <c r="P51" s="14"/>
      <c r="Z51" s="5"/>
    </row>
    <row r="52" spans="1:26" s="3" customFormat="1" ht="13.15" hidden="1" x14ac:dyDescent="0.25">
      <c r="C52" s="3" t="s">
        <v>39</v>
      </c>
      <c r="D52" s="3" t="s">
        <v>40</v>
      </c>
      <c r="E52" s="3" t="s">
        <v>41</v>
      </c>
      <c r="F52" s="3" t="s">
        <v>126</v>
      </c>
      <c r="G52" s="3" t="s">
        <v>127</v>
      </c>
      <c r="H52" s="3" t="s">
        <v>29</v>
      </c>
      <c r="I52" s="3" t="s">
        <v>42</v>
      </c>
      <c r="J52" s="3" t="s">
        <v>43</v>
      </c>
      <c r="K52" s="3" t="s">
        <v>32</v>
      </c>
      <c r="L52" s="3" t="s">
        <v>38</v>
      </c>
      <c r="M52" s="3" t="s">
        <v>30</v>
      </c>
      <c r="N52" s="3" t="s">
        <v>45</v>
      </c>
      <c r="O52" s="3" t="s">
        <v>46</v>
      </c>
      <c r="P52" s="3" t="s">
        <v>47</v>
      </c>
      <c r="Q52" s="3" t="s">
        <v>48</v>
      </c>
      <c r="R52" s="3" t="s">
        <v>71</v>
      </c>
      <c r="S52" s="3" t="s">
        <v>147</v>
      </c>
      <c r="T52" s="3" t="s">
        <v>121</v>
      </c>
    </row>
    <row r="53" spans="1:26" s="3" customFormat="1" ht="13.15" hidden="1" x14ac:dyDescent="0.25">
      <c r="B53" s="3" t="s">
        <v>765</v>
      </c>
      <c r="C53" s="14">
        <f t="shared" ref="C53:D55" si="3">C29</f>
        <v>4659000</v>
      </c>
      <c r="D53" s="14">
        <f t="shared" si="3"/>
        <v>3241000</v>
      </c>
      <c r="E53" s="14">
        <f t="shared" ref="E53:M53" si="4">E29</f>
        <v>1346000</v>
      </c>
      <c r="F53" s="14">
        <f t="shared" si="4"/>
        <v>6577000</v>
      </c>
      <c r="G53" s="14">
        <f t="shared" si="4"/>
        <v>445000</v>
      </c>
      <c r="H53" s="14">
        <f t="shared" si="4"/>
        <v>2815000</v>
      </c>
      <c r="I53" s="61">
        <f t="shared" si="4"/>
        <v>-36097000</v>
      </c>
      <c r="J53" s="61">
        <f t="shared" si="4"/>
        <v>-3053000</v>
      </c>
      <c r="K53" s="61">
        <f t="shared" si="4"/>
        <v>-7665000</v>
      </c>
      <c r="L53" s="61">
        <f t="shared" si="4"/>
        <v>-2010000</v>
      </c>
      <c r="M53" s="61">
        <f t="shared" si="4"/>
        <v>-2621000</v>
      </c>
      <c r="N53" s="24"/>
      <c r="O53" s="24"/>
      <c r="P53" s="24">
        <f>SUM(C53:O53)</f>
        <v>-32363000</v>
      </c>
      <c r="Q53" s="24"/>
      <c r="R53" s="24"/>
    </row>
    <row r="54" spans="1:26" s="3" customFormat="1" ht="13.15" hidden="1" x14ac:dyDescent="0.25">
      <c r="B54" s="3" t="s">
        <v>634</v>
      </c>
      <c r="C54" s="14">
        <f t="shared" si="3"/>
        <v>0</v>
      </c>
      <c r="D54" s="14">
        <f t="shared" si="3"/>
        <v>0</v>
      </c>
      <c r="E54" s="14">
        <f t="shared" ref="E54:E61" si="5">E30</f>
        <v>0</v>
      </c>
      <c r="F54" s="14">
        <f>F30</f>
        <v>0</v>
      </c>
      <c r="G54" s="14">
        <f>G30</f>
        <v>0</v>
      </c>
      <c r="H54" s="14">
        <f>H30</f>
        <v>0</v>
      </c>
      <c r="I54" s="61">
        <f t="shared" ref="I54:J56" si="6">I30</f>
        <v>-2406466.6666666665</v>
      </c>
      <c r="J54" s="61">
        <f t="shared" si="6"/>
        <v>-203533.33333333334</v>
      </c>
      <c r="K54" s="14">
        <f>K30</f>
        <v>0</v>
      </c>
      <c r="L54" s="14">
        <f>L30</f>
        <v>0</v>
      </c>
      <c r="M54" s="14">
        <f>M30</f>
        <v>0</v>
      </c>
      <c r="N54" s="62">
        <f>SUM(-Balansprognose!C41,-Balansprognose!C42,-Balansprognose!C43)</f>
        <v>0</v>
      </c>
      <c r="O54" s="14">
        <f>-SUM(C54,D54,E54,F54,G54,H54,I54,J54,K54,L54,M54,N54)</f>
        <v>2610000</v>
      </c>
      <c r="P54" s="24">
        <f>SUM(P53,R54)</f>
        <v>-33418605</v>
      </c>
      <c r="Q54" s="24">
        <f>SUM(S54,T54)</f>
        <v>-1055605.0000000005</v>
      </c>
      <c r="R54" s="24">
        <f>SUM(C54,D54,E54,F54,G54,H54,I54,J54,K54,L54,M54,N54,O54,Q54)</f>
        <v>-1055605.0000000005</v>
      </c>
      <c r="S54" s="24">
        <f>SUM((SUM(I53,-I54)*I55),(SUM(J53,-J54)*J55),(SUM(K53,-K54)*K55),(-O54*O55))</f>
        <v>-1391370.0000000005</v>
      </c>
      <c r="T54" s="50">
        <f>SUM((SUM(C53,-C54)*C55),(SUM(D53,-D54)*D55),(SUM(E53,-E54)*E55),(SUM(G53,-G54)*G55),(-N54*N55))</f>
        <v>335765.00000000006</v>
      </c>
      <c r="U54" s="186"/>
    </row>
    <row r="55" spans="1:26" s="3" customFormat="1" ht="13.15" hidden="1" x14ac:dyDescent="0.25">
      <c r="B55" s="3" t="s">
        <v>766</v>
      </c>
      <c r="C55" s="21">
        <f t="shared" si="3"/>
        <v>3.5833333333333342E-2</v>
      </c>
      <c r="D55" s="21">
        <f t="shared" si="3"/>
        <v>3.5833333333333342E-2</v>
      </c>
      <c r="E55" s="21">
        <f t="shared" si="5"/>
        <v>3.5833333333333342E-2</v>
      </c>
      <c r="F55" s="21">
        <f>F31</f>
        <v>0</v>
      </c>
      <c r="G55" s="21">
        <f>SUM(W8,W21)</f>
        <v>0.01</v>
      </c>
      <c r="H55" s="21">
        <f>H31</f>
        <v>0</v>
      </c>
      <c r="I55" s="21">
        <f>I31</f>
        <v>3.383333333333334E-2</v>
      </c>
      <c r="J55" s="21">
        <f>J31</f>
        <v>3.383333333333334E-2</v>
      </c>
      <c r="K55" s="21">
        <f>SUM(W9,W21)</f>
        <v>1.7000000000000001E-2</v>
      </c>
      <c r="L55" s="21">
        <f>L31</f>
        <v>0</v>
      </c>
      <c r="M55" s="21">
        <f>M31</f>
        <v>0</v>
      </c>
      <c r="N55" s="8">
        <f>W7</f>
        <v>1.4500000000000001E-2</v>
      </c>
      <c r="O55" s="8">
        <f>W10</f>
        <v>9.4999999999999998E-3</v>
      </c>
      <c r="P55" s="21">
        <f>Q54/P54</f>
        <v>3.1587344833813397E-2</v>
      </c>
      <c r="R55" s="8">
        <f>W10</f>
        <v>9.4999999999999998E-3</v>
      </c>
    </row>
    <row r="56" spans="1:26" s="3" customFormat="1" ht="13.15" hidden="1" x14ac:dyDescent="0.25">
      <c r="B56" s="3" t="s">
        <v>777</v>
      </c>
      <c r="C56" s="14">
        <f>SUM(C32*X19,C53*W19)</f>
        <v>745440</v>
      </c>
      <c r="D56" s="14">
        <f>SUM(D32*X20,D53*W20)</f>
        <v>518560</v>
      </c>
      <c r="E56" s="14">
        <f t="shared" si="5"/>
        <v>89733.333333333328</v>
      </c>
      <c r="F56" s="14"/>
      <c r="G56" s="14"/>
      <c r="H56" s="14"/>
      <c r="I56" s="61">
        <f t="shared" si="6"/>
        <v>-2406466.6666666665</v>
      </c>
      <c r="J56" s="61">
        <f t="shared" si="6"/>
        <v>-203533.33333333334</v>
      </c>
      <c r="K56" s="14"/>
      <c r="L56" s="14"/>
      <c r="M56" s="14"/>
      <c r="N56" s="62">
        <f>SUM(-C32*X19,-D32*X20)</f>
        <v>-474000</v>
      </c>
      <c r="O56" s="14">
        <f>-SUM(C56,-C53*W19,D56,-D53*W20,E56,I56,J56,N56)</f>
        <v>2520266.666666666</v>
      </c>
      <c r="P56" s="24">
        <f>SUM(P54,R56)</f>
        <v>-35308713.312261902</v>
      </c>
      <c r="Q56" s="24">
        <f>SUM(S56,T56)</f>
        <v>-1100108.3122619048</v>
      </c>
      <c r="R56" s="24">
        <f>SUM(C56,-C53*W19*2,D56,-D53*W20*2,N56,Q56)</f>
        <v>-1890108.3122619048</v>
      </c>
      <c r="S56" s="24">
        <f>SUM((SUM(I53,-I54,-I56)*I57),(SUM(J53,-J54,-J56)*J57),(SUM(K53,-K54)*K57),(-O54*O55),(-O56*O57),(R54*R55))</f>
        <v>-1392679.0189285714</v>
      </c>
      <c r="T56" s="50">
        <f>SUM((SUM(C53,-C54,-C56)*C57),(SUM(D53,-D54,-D56)*D57),(SUM(E53,-E54,-E56)*E57),(SUM(G53,-G54)*G57),(-N54*N55),(-N56*N57))</f>
        <v>292570.70666666661</v>
      </c>
      <c r="U56" s="186"/>
    </row>
    <row r="57" spans="1:26" s="3" customFormat="1" ht="13.15" hidden="1" x14ac:dyDescent="0.25">
      <c r="B57" s="3" t="s">
        <v>778</v>
      </c>
      <c r="C57" s="21">
        <f>C33</f>
        <v>3.447142857142857E-2</v>
      </c>
      <c r="D57" s="21">
        <f>D33</f>
        <v>3.447142857142857E-2</v>
      </c>
      <c r="E57" s="21">
        <f t="shared" si="5"/>
        <v>3.447142857142857E-2</v>
      </c>
      <c r="F57" s="21">
        <f>F33</f>
        <v>0</v>
      </c>
      <c r="G57" s="21">
        <f>SUM(W8,W22)</f>
        <v>0.02</v>
      </c>
      <c r="H57" s="21">
        <f>H33</f>
        <v>0</v>
      </c>
      <c r="I57" s="21">
        <f>I33</f>
        <v>3.2471428571428568E-2</v>
      </c>
      <c r="J57" s="21">
        <f>J33</f>
        <v>3.2471428571428568E-2</v>
      </c>
      <c r="K57" s="21">
        <f>SUM(W9,W22)</f>
        <v>2.7E-2</v>
      </c>
      <c r="L57" s="21">
        <f>L33</f>
        <v>0</v>
      </c>
      <c r="M57" s="21">
        <f>M33</f>
        <v>0</v>
      </c>
      <c r="N57" s="8">
        <f>SUM(W7,W21)</f>
        <v>2.4500000000000001E-2</v>
      </c>
      <c r="O57" s="8">
        <f>SUM(W10,W21)</f>
        <v>1.95E-2</v>
      </c>
      <c r="P57" s="21">
        <f>Q56/P56</f>
        <v>3.1156850790138042E-2</v>
      </c>
      <c r="Q57" s="14"/>
      <c r="R57" s="8">
        <f>SUM(W10,W21)</f>
        <v>1.95E-2</v>
      </c>
    </row>
    <row r="58" spans="1:26" s="3" customFormat="1" ht="13.15" hidden="1" x14ac:dyDescent="0.25">
      <c r="B58" s="3" t="s">
        <v>768</v>
      </c>
      <c r="C58" s="14">
        <f>C34*X19</f>
        <v>279540</v>
      </c>
      <c r="D58" s="14">
        <f>D34*X20</f>
        <v>194460</v>
      </c>
      <c r="E58" s="14">
        <f t="shared" si="5"/>
        <v>89733.333333333328</v>
      </c>
      <c r="F58" s="14"/>
      <c r="G58" s="14"/>
      <c r="H58" s="14"/>
      <c r="I58" s="61">
        <f t="shared" ref="I58:I72" si="7">I34</f>
        <v>-2406466.6666666665</v>
      </c>
      <c r="J58" s="61">
        <f t="shared" ref="J58:J63" si="8">J34</f>
        <v>-203533.33333333334</v>
      </c>
      <c r="K58" s="14"/>
      <c r="L58" s="14"/>
      <c r="M58" s="14"/>
      <c r="N58" s="62">
        <f>SUM(-C58,-D58)</f>
        <v>-474000</v>
      </c>
      <c r="O58" s="14">
        <f>-SUM(C58,D58,E58,I58,J58,N58)</f>
        <v>2520266.666666666</v>
      </c>
      <c r="P58" s="24">
        <f>SUM(P56,R58)</f>
        <v>-36487065.322107419</v>
      </c>
      <c r="Q58" s="24">
        <f>SUM(S58,T58)</f>
        <v>-1178352.0098455173</v>
      </c>
      <c r="R58" s="24">
        <f>SUM(C58,D58,N58,Q58)</f>
        <v>-1178352.0098455173</v>
      </c>
      <c r="S58" s="24">
        <f>SUM((SUM(I53,-I54,-I56,-I58)*I59),(SUM(J53,-J54,-J56,-J58)*J59),(SUM(K53,-K54)*K59),(-O54*O55),(-O56*O57),(-O58*O59),(R54*R55),(R56*R57))</f>
        <v>-1465117.5031788507</v>
      </c>
      <c r="T58" s="50">
        <f>SUM((SUM(C53,-C54,-C56,-C58)*C59),(SUM(D53,-D54,-D56,-D58)*D59),(SUM(E53,-E54,-E56,-E58)*E59),(SUM(G53,-G54)*G59),(-N54*N55),(-N56*N57),(-N58*N59))</f>
        <v>286765.4933333334</v>
      </c>
      <c r="U58" s="186"/>
    </row>
    <row r="59" spans="1:26" s="3" customFormat="1" ht="13.15" hidden="1" x14ac:dyDescent="0.25">
      <c r="B59" s="3" t="s">
        <v>629</v>
      </c>
      <c r="C59" s="21">
        <f>C35</f>
        <v>3.3492307692307696E-2</v>
      </c>
      <c r="D59" s="21">
        <f>D35</f>
        <v>3.3492307692307696E-2</v>
      </c>
      <c r="E59" s="21">
        <f t="shared" si="5"/>
        <v>3.3492307692307696E-2</v>
      </c>
      <c r="F59" s="21">
        <f>F35</f>
        <v>0</v>
      </c>
      <c r="G59" s="21">
        <f>SUM(W8,W23)</f>
        <v>0.03</v>
      </c>
      <c r="H59" s="21">
        <f>H35</f>
        <v>0</v>
      </c>
      <c r="I59" s="21">
        <f>I35</f>
        <v>3.1492307692307694E-2</v>
      </c>
      <c r="J59" s="21">
        <f t="shared" si="8"/>
        <v>3.1492307692307694E-2</v>
      </c>
      <c r="K59" s="21">
        <f>SUM(W9,W23)</f>
        <v>3.6999999999999998E-2</v>
      </c>
      <c r="L59" s="21">
        <f>L35</f>
        <v>0</v>
      </c>
      <c r="M59" s="21">
        <f>M35</f>
        <v>0</v>
      </c>
      <c r="N59" s="8">
        <f>SUM(W7,W22)</f>
        <v>3.4500000000000003E-2</v>
      </c>
      <c r="O59" s="8">
        <f>SUM(W10,W22)</f>
        <v>2.9499999999999998E-2</v>
      </c>
      <c r="P59" s="21">
        <f>Q58/P58</f>
        <v>3.2295061261930456E-2</v>
      </c>
      <c r="R59" s="8">
        <f>SUM(W10,W22)</f>
        <v>2.9499999999999998E-2</v>
      </c>
    </row>
    <row r="60" spans="1:26" s="3" customFormat="1" ht="13.15" hidden="1" x14ac:dyDescent="0.25">
      <c r="B60" s="3" t="s">
        <v>585</v>
      </c>
      <c r="C60" s="14">
        <f>C36*X19</f>
        <v>279540</v>
      </c>
      <c r="D60" s="14">
        <f>D36*X20</f>
        <v>194460</v>
      </c>
      <c r="E60" s="14">
        <f t="shared" si="5"/>
        <v>89733.333333333328</v>
      </c>
      <c r="F60" s="14"/>
      <c r="G60" s="14"/>
      <c r="H60" s="14"/>
      <c r="I60" s="61">
        <f t="shared" si="7"/>
        <v>-2406466.6666666665</v>
      </c>
      <c r="J60" s="61">
        <f t="shared" si="8"/>
        <v>-203533.33333333334</v>
      </c>
      <c r="K60" s="14"/>
      <c r="L60" s="14"/>
      <c r="M60" s="14"/>
      <c r="N60" s="62">
        <f>SUM(-C60,-D60)</f>
        <v>-474000</v>
      </c>
      <c r="O60" s="14">
        <f>-SUM(C60,D60,E60,I60,J60,N60)</f>
        <v>2520266.666666666</v>
      </c>
      <c r="P60" s="24">
        <f>SUM(P58,R60)</f>
        <v>-37690802.515986972</v>
      </c>
      <c r="Q60" s="24">
        <f>SUM(S60,T60)</f>
        <v>-1203737.1938795499</v>
      </c>
      <c r="R60" s="24">
        <f>SUM(C60,D60,N60,Q60)</f>
        <v>-1203737.1938795499</v>
      </c>
      <c r="S60" s="24">
        <f>SUM((SUM(I53,-I54,-I56,-I58,-I60)*I61),(SUM(J53,-J54,-J56,-J58,-J60)*J61),(SUM(K53,-K54)*K61),(-O54*O55),(-O56*O57),(-O58*O59),(-O60*O61),(R54*R55),(R56*R57),(R58*R59))</f>
        <v>-1485156.5938795498</v>
      </c>
      <c r="T60" s="50">
        <f>SUM((SUM(C53,-C54,-C56,-C58,-C60)*C61),(SUM(D53,-D54,-D56,-D58,-D60)*D61),(SUM(E53,-E54,-E56,-E58,-E60)*E61),(SUM(G53,-G54)*G61),(-N54*N55),(-N56*N57),(-N58*N59),(-N60*N61))</f>
        <v>281419.40000000002</v>
      </c>
      <c r="U60" s="186"/>
    </row>
    <row r="61" spans="1:26" s="3" customFormat="1" ht="13.15" hidden="1" x14ac:dyDescent="0.25">
      <c r="B61" s="3" t="s">
        <v>770</v>
      </c>
      <c r="C61" s="21">
        <f>C37</f>
        <v>3.2375000000000001E-2</v>
      </c>
      <c r="D61" s="21">
        <f>D37</f>
        <v>3.2375000000000001E-2</v>
      </c>
      <c r="E61" s="21">
        <f t="shared" si="5"/>
        <v>3.2375000000000001E-2</v>
      </c>
      <c r="F61" s="21">
        <f>F37</f>
        <v>0</v>
      </c>
      <c r="G61" s="21">
        <f>SUM(W8,W23)</f>
        <v>0.03</v>
      </c>
      <c r="H61" s="21">
        <f>H37</f>
        <v>0</v>
      </c>
      <c r="I61" s="21">
        <f>I37</f>
        <v>3.0374999999999999E-2</v>
      </c>
      <c r="J61" s="21">
        <f t="shared" si="8"/>
        <v>3.0374999999999999E-2</v>
      </c>
      <c r="K61" s="21">
        <f>SUM(W9,W23)</f>
        <v>3.6999999999999998E-2</v>
      </c>
      <c r="L61" s="21">
        <f>L37</f>
        <v>0</v>
      </c>
      <c r="M61" s="21">
        <f>M37</f>
        <v>0</v>
      </c>
      <c r="N61" s="8">
        <f>SUM(W7,W23)</f>
        <v>4.4499999999999998E-2</v>
      </c>
      <c r="O61" s="8">
        <f>SUM(W10,W23)</f>
        <v>3.95E-2</v>
      </c>
      <c r="P61" s="21">
        <f>Q60/P60</f>
        <v>3.1937160090156513E-2</v>
      </c>
      <c r="R61" s="8">
        <f>SUM($W$10,$W$23)</f>
        <v>3.95E-2</v>
      </c>
    </row>
    <row r="62" spans="1:26" s="3" customFormat="1" ht="13.15" hidden="1" x14ac:dyDescent="0.25">
      <c r="B62" s="3" t="s">
        <v>630</v>
      </c>
      <c r="C62" s="14">
        <f>C38*X19</f>
        <v>279540</v>
      </c>
      <c r="D62" s="14">
        <f>D38*X20</f>
        <v>194460</v>
      </c>
      <c r="E62" s="14">
        <f t="shared" ref="E62:E73" si="9">E38</f>
        <v>89733.333333333328</v>
      </c>
      <c r="F62" s="14"/>
      <c r="G62" s="14"/>
      <c r="H62" s="14"/>
      <c r="I62" s="61">
        <f t="shared" si="7"/>
        <v>-2406466.6666666665</v>
      </c>
      <c r="J62" s="61">
        <f t="shared" si="8"/>
        <v>-203533.33333333334</v>
      </c>
      <c r="K62" s="14"/>
      <c r="L62" s="14"/>
      <c r="M62" s="14"/>
      <c r="N62" s="62">
        <f>SUM(-C62,-D62)</f>
        <v>-474000</v>
      </c>
      <c r="O62" s="14">
        <f>-SUM(C62,D62,E62,I62,J62,N62)</f>
        <v>2520266.666666666</v>
      </c>
      <c r="P62" s="24">
        <f>SUM(P60,R62)</f>
        <v>-38946266.098418705</v>
      </c>
      <c r="Q62" s="25">
        <f>SUM(S62,T62)</f>
        <v>-1255463.5824317308</v>
      </c>
      <c r="R62" s="24">
        <f>SUM(C62,D62,N62,Q62)</f>
        <v>-1255463.5824317308</v>
      </c>
      <c r="S62" s="24">
        <f>SUM((SUM(I53,-I54,-I56,-I58,-I60,-I62)*I63),(SUM(J53,-J54,-J56,-J58,-J60,-J62)*J63),(SUM(K53,-K54)*K63),(-O54*O55),(-O56*O57),(-O58*O59),(-O60*O61),(-O62*O63),(R54*R55),(R56*R57),(R58*R59),(R60*R61))</f>
        <v>-1535595.7690983976</v>
      </c>
      <c r="T62" s="50">
        <f>SUM((SUM(C53,-C54,-C56,-C58,-C60,-C62)*C63),(SUM(D53,-D54,-D56,-D58,-D60,-D62)*D63),(SUM(E53,-E54,-E56,-E58,-E60,-E62)*E63),(SUM(G53,-G54)*G63),(-N54*N55),(-N56*N57),(-N58*N59),(-N60*N61),(-N62*N63))</f>
        <v>280132.18666666665</v>
      </c>
      <c r="U62" s="186"/>
    </row>
    <row r="63" spans="1:26" s="3" customFormat="1" ht="13.15" hidden="1" x14ac:dyDescent="0.25">
      <c r="B63" s="3" t="s">
        <v>586</v>
      </c>
      <c r="C63" s="21">
        <f>C39</f>
        <v>3.1709090909090909E-2</v>
      </c>
      <c r="D63" s="21">
        <f>D39</f>
        <v>3.1709090909090909E-2</v>
      </c>
      <c r="E63" s="21">
        <f t="shared" si="9"/>
        <v>3.1709090909090909E-2</v>
      </c>
      <c r="F63" s="21">
        <f>F39</f>
        <v>0</v>
      </c>
      <c r="G63" s="21">
        <f>SUM(W8,W23)</f>
        <v>0.03</v>
      </c>
      <c r="H63" s="21">
        <f>H39</f>
        <v>0</v>
      </c>
      <c r="I63" s="21">
        <f>I39</f>
        <v>2.9709090909090907E-2</v>
      </c>
      <c r="J63" s="21">
        <f t="shared" si="8"/>
        <v>2.9709090909090907E-2</v>
      </c>
      <c r="K63" s="21">
        <f>SUM(W9,W23)</f>
        <v>3.6999999999999998E-2</v>
      </c>
      <c r="L63" s="21">
        <f>L39</f>
        <v>0</v>
      </c>
      <c r="M63" s="21">
        <f>M39</f>
        <v>0</v>
      </c>
      <c r="N63" s="8">
        <f>SUM(W7,W23)</f>
        <v>4.4499999999999998E-2</v>
      </c>
      <c r="O63" s="8">
        <f>SUM(W10,W23)</f>
        <v>3.95E-2</v>
      </c>
      <c r="P63" s="21">
        <f>Q62/P62</f>
        <v>3.2235788130731871E-2</v>
      </c>
      <c r="R63" s="8">
        <f>SUM($W$10,$W$23)</f>
        <v>3.95E-2</v>
      </c>
    </row>
    <row r="64" spans="1:26" s="3" customFormat="1" ht="13.15" hidden="1" x14ac:dyDescent="0.25">
      <c r="B64" s="3" t="s">
        <v>771</v>
      </c>
      <c r="C64" s="14">
        <f>C40*X19</f>
        <v>279540</v>
      </c>
      <c r="D64" s="14">
        <f>D40*X20</f>
        <v>194460</v>
      </c>
      <c r="E64" s="14">
        <f t="shared" si="9"/>
        <v>89733.333333333328</v>
      </c>
      <c r="F64" s="14"/>
      <c r="G64" s="14"/>
      <c r="H64" s="14"/>
      <c r="I64" s="61">
        <f t="shared" si="7"/>
        <v>-2406466.6666666665</v>
      </c>
      <c r="J64" s="61">
        <f t="shared" ref="J64:J73" si="10">J40</f>
        <v>-203533.33333333334</v>
      </c>
      <c r="K64" s="14"/>
      <c r="L64" s="14"/>
      <c r="M64" s="14"/>
      <c r="N64" s="62">
        <f>SUM(-C64,-D64)</f>
        <v>-474000</v>
      </c>
      <c r="O64" s="14">
        <f>-SUM(C64,D64,E64,I64,J64,N64)</f>
        <v>2520266.666666666</v>
      </c>
      <c r="P64" s="24">
        <f>SUM(P62,R64)</f>
        <v>-40248527.272962548</v>
      </c>
      <c r="Q64" s="25">
        <f>SUM(S64,T64)</f>
        <v>-1302261.174543845</v>
      </c>
      <c r="R64" s="24">
        <f>SUM(C64,D64,N64,Q64)</f>
        <v>-1302261.174543845</v>
      </c>
      <c r="S64" s="24">
        <f>SUM((SUM(I53,-I54,-I56,-I58,-I60,-I62,-I64)*I65),(SUM(J53,-J54,-J56,-J58,-J60,-J62,-J64)*J65),(SUM(K53,-K54)*K65),(-O54*O55),(-O56*O57),(-O58*O59),(-O60*O61),(-O62*O63),(-O64*O65),(R54*R55),(R56*R57),(R58*R59),(R60*R61),(R62*R63))</f>
        <v>-1578794.8412105117</v>
      </c>
      <c r="T64" s="50">
        <f>SUM((SUM(C53,-C54,-C56,-C58,-C60,-C62,-C64)*C65),(SUM(D53,-D54,-D56,-D58,-D60,-D62,-D64)*D65),(SUM(E53,-E54,-E56,-E58,-E60,-E62,-E64)*E65),(SUM(G53,-G54)*G65),(-N54*N55),(-N56*N57),(-N58*N59),(-N60*N61),(-N62*N63),(-N64*N65))</f>
        <v>276533.66666666669</v>
      </c>
      <c r="U64" s="186"/>
    </row>
    <row r="65" spans="2:26" s="3" customFormat="1" ht="13.15" hidden="1" x14ac:dyDescent="0.25">
      <c r="B65" s="3" t="s">
        <v>631</v>
      </c>
      <c r="C65" s="21">
        <f>C41</f>
        <v>3.0499999999999999E-2</v>
      </c>
      <c r="D65" s="21">
        <f>D41</f>
        <v>3.0499999999999999E-2</v>
      </c>
      <c r="E65" s="21">
        <f t="shared" si="9"/>
        <v>3.0499999999999999E-2</v>
      </c>
      <c r="F65" s="21">
        <f>F41</f>
        <v>0</v>
      </c>
      <c r="G65" s="21">
        <f>SUM(W8,W23)</f>
        <v>0.03</v>
      </c>
      <c r="H65" s="21">
        <f>H41</f>
        <v>0</v>
      </c>
      <c r="I65" s="21">
        <f>I41</f>
        <v>2.8500000000000001E-2</v>
      </c>
      <c r="J65" s="21">
        <f t="shared" si="10"/>
        <v>2.8500000000000001E-2</v>
      </c>
      <c r="K65" s="21">
        <f>SUM(W9,W23)</f>
        <v>3.6999999999999998E-2</v>
      </c>
      <c r="L65" s="21">
        <f>L41</f>
        <v>0</v>
      </c>
      <c r="M65" s="21">
        <f>M41</f>
        <v>0</v>
      </c>
      <c r="N65" s="8">
        <f>SUM(W7,W23)</f>
        <v>4.4499999999999998E-2</v>
      </c>
      <c r="O65" s="8">
        <f>SUM(W10,W23)</f>
        <v>3.95E-2</v>
      </c>
      <c r="P65" s="21">
        <f>Q64/P64</f>
        <v>3.2355498766750042E-2</v>
      </c>
      <c r="R65" s="8">
        <f>SUM($W$10,$W$23)</f>
        <v>3.95E-2</v>
      </c>
    </row>
    <row r="66" spans="2:26" s="3" customFormat="1" ht="13.15" hidden="1" x14ac:dyDescent="0.25">
      <c r="B66" s="3" t="s">
        <v>773</v>
      </c>
      <c r="C66" s="14">
        <f>C42*X19</f>
        <v>279540</v>
      </c>
      <c r="D66" s="14">
        <f>D42*X20</f>
        <v>194460</v>
      </c>
      <c r="E66" s="14">
        <f t="shared" si="9"/>
        <v>89733.333333333328</v>
      </c>
      <c r="F66" s="14"/>
      <c r="G66" s="14"/>
      <c r="H66" s="14"/>
      <c r="I66" s="61">
        <f t="shared" si="7"/>
        <v>-2406466.6666666665</v>
      </c>
      <c r="J66" s="61">
        <f t="shared" si="10"/>
        <v>-203533.33333333334</v>
      </c>
      <c r="K66" s="14"/>
      <c r="L66" s="14"/>
      <c r="M66" s="14"/>
      <c r="N66" s="62">
        <f>SUM(-C66,-D66)</f>
        <v>-474000</v>
      </c>
      <c r="O66" s="14">
        <f>-SUM(C66,D66,E66,I66,J66,N66)</f>
        <v>2520266.666666666</v>
      </c>
      <c r="P66" s="24">
        <f>SUM(P64,R66)</f>
        <v>-41591178.85723421</v>
      </c>
      <c r="Q66" s="25">
        <f>SUM(S66,T66)</f>
        <v>-1342651.5842716598</v>
      </c>
      <c r="R66" s="24">
        <f>SUM(C66,D66,N66,Q66)</f>
        <v>-1342651.5842716598</v>
      </c>
      <c r="S66" s="24">
        <f>SUM((SUM(I53,-I54,-I56,-I58,-I60,-I62,-I64,-I66)*I67),(SUM(J53,-J54,-J56,-J58,-J60,-J62,-J64,-J66)*J67),(SUM(K53,-K54)*K67),(-O54*O55),(-O56*O57),(-O58*O59),(-O60*O61),(-O62*O63),(-O64*O65),(-O66*O67),(R54*R55),(R56*R57),(R58*R59),(R60*R61),(R62*R63),(R64*R65))</f>
        <v>-1612711.6909383265</v>
      </c>
      <c r="T66" s="50">
        <f>SUM((SUM(C53,-C54,-C56,-C58,-C60,-C62,-C64,-C66)*C67),(SUM(D53,-D54,-D56,-D58,-D60,-D62,-D64,-D66)*D67),(SUM(E53,-E54,-E56,-E58,-E60,-E62,-E64,-E66)*E67),(SUM(G53,-G54)*G67),(-N54*N55),(-N56*N57),(-N58*N59),(-N60*N61),(-N62*N63),(-N64*N65),(-N66*N67))</f>
        <v>270060.10666666669</v>
      </c>
      <c r="U66" s="185"/>
    </row>
    <row r="67" spans="2:26" s="3" customFormat="1" ht="13.15" hidden="1" x14ac:dyDescent="0.25">
      <c r="B67" s="3" t="s">
        <v>774</v>
      </c>
      <c r="C67" s="21">
        <f>C43</f>
        <v>2.8455555555555553E-2</v>
      </c>
      <c r="D67" s="21">
        <f>D43</f>
        <v>2.8455555555555553E-2</v>
      </c>
      <c r="E67" s="21">
        <f t="shared" si="9"/>
        <v>2.8455555555555553E-2</v>
      </c>
      <c r="F67" s="21">
        <f>F43</f>
        <v>0</v>
      </c>
      <c r="G67" s="21">
        <f>SUM(W8,W23)</f>
        <v>0.03</v>
      </c>
      <c r="H67" s="21">
        <f>H43</f>
        <v>0</v>
      </c>
      <c r="I67" s="21">
        <f>I43</f>
        <v>2.6455555555555552E-2</v>
      </c>
      <c r="J67" s="21">
        <f t="shared" si="10"/>
        <v>2.6455555555555552E-2</v>
      </c>
      <c r="K67" s="21">
        <f>SUM(W9,W23)</f>
        <v>3.6999999999999998E-2</v>
      </c>
      <c r="L67" s="21">
        <f>L43</f>
        <v>0</v>
      </c>
      <c r="M67" s="21">
        <f>M43</f>
        <v>0</v>
      </c>
      <c r="N67" s="8">
        <f>SUM(W7,W23)</f>
        <v>4.4499999999999998E-2</v>
      </c>
      <c r="O67" s="8">
        <f>SUM(W10,W23)</f>
        <v>3.95E-2</v>
      </c>
      <c r="P67" s="21">
        <f>Q66/P66</f>
        <v>3.2282123785922073E-2</v>
      </c>
      <c r="R67" s="8">
        <f>SUM($W$10,$W$23)</f>
        <v>3.95E-2</v>
      </c>
    </row>
    <row r="68" spans="2:26" s="3" customFormat="1" ht="13.15" hidden="1" x14ac:dyDescent="0.25">
      <c r="B68" s="3" t="s">
        <v>587</v>
      </c>
      <c r="C68" s="14">
        <f>C44*X19</f>
        <v>279540</v>
      </c>
      <c r="D68" s="14">
        <f>D44*X20</f>
        <v>194460</v>
      </c>
      <c r="E68" s="14">
        <f t="shared" si="9"/>
        <v>89733.333333333328</v>
      </c>
      <c r="F68" s="14"/>
      <c r="G68" s="14"/>
      <c r="H68" s="14"/>
      <c r="I68" s="61">
        <f t="shared" si="7"/>
        <v>-2406466.6666666665</v>
      </c>
      <c r="J68" s="61">
        <f t="shared" si="10"/>
        <v>-203533.33333333334</v>
      </c>
      <c r="K68" s="14"/>
      <c r="L68" s="14"/>
      <c r="M68" s="14"/>
      <c r="N68" s="62">
        <f>SUM(-C68,-D68)</f>
        <v>-474000</v>
      </c>
      <c r="O68" s="14">
        <f>-SUM(C68,D68,E68,I68,J68,N68)</f>
        <v>2520266.666666666</v>
      </c>
      <c r="P68" s="24">
        <f>SUM(P66,R68)</f>
        <v>-42978182.282417931</v>
      </c>
      <c r="Q68" s="25">
        <f>SUM(S68,T68)</f>
        <v>-1387003.4251837241</v>
      </c>
      <c r="R68" s="24">
        <f>SUM(C68,D68,N68,Q68)</f>
        <v>-1387003.4251837241</v>
      </c>
      <c r="S68" s="24">
        <f>SUM((SUM(I53,-I54,-I56,-I58,-I60,-I62,-I64,-I66,-I68)*I69),(SUM(J53,-J54,-J56,-J58,-J60,-J62,-J64,-J66,-J68)*J69),(SUM(K53,-K54)*K69),(-O54*O55),(-O56*O57),(-O58*O59),(-O60*O61),(-O62*O63),(-O64*O65),(-O66*O67),(-O68*O69),(R54*R55),(R56*R57),(R58*R59),(R60*R61),(R62*R63),(R64*R65),(R66*R67))</f>
        <v>-1650928.2118503908</v>
      </c>
      <c r="T68" s="50">
        <f>SUM((SUM(C53,-C54,-C56,-C58,-C60,-C62,-C64,-C66,-C68)*C69),(SUM(D53,-D54,-D56,-D58,-D60,-D62,-D64,-D66,-D68)*D69),(SUM(E53,-E54,-E56,-E58,-E60,-E62,-E64,-E66,-E68)*E69),(SUM(G53,-G54)*G69),(-N54*N55),(-N56*N57),(-N58*N59),(-N60*N61),(-N62*N63),(-N64*N65),(-N66*N67),(-N68*N69))</f>
        <v>263924.78666666668</v>
      </c>
      <c r="U68" s="186"/>
    </row>
    <row r="69" spans="2:26" s="3" customFormat="1" ht="13.15" hidden="1" x14ac:dyDescent="0.25">
      <c r="B69" s="3" t="s">
        <v>588</v>
      </c>
      <c r="C69" s="21">
        <f>C45</f>
        <v>2.5975000000000005E-2</v>
      </c>
      <c r="D69" s="21">
        <f>D45</f>
        <v>2.5975000000000005E-2</v>
      </c>
      <c r="E69" s="21">
        <f t="shared" si="9"/>
        <v>2.5975000000000005E-2</v>
      </c>
      <c r="F69" s="21">
        <f>F45</f>
        <v>0</v>
      </c>
      <c r="G69" s="21">
        <f>SUM(W8,W23)</f>
        <v>0.03</v>
      </c>
      <c r="H69" s="21">
        <f>H45</f>
        <v>0</v>
      </c>
      <c r="I69" s="21">
        <f>I45</f>
        <v>2.3975000000000003E-2</v>
      </c>
      <c r="J69" s="21">
        <f t="shared" si="10"/>
        <v>2.3975000000000003E-2</v>
      </c>
      <c r="K69" s="21">
        <f>SUM(W9,W23)</f>
        <v>3.6999999999999998E-2</v>
      </c>
      <c r="L69" s="21">
        <f>L45</f>
        <v>0</v>
      </c>
      <c r="M69" s="21">
        <f>M45</f>
        <v>0</v>
      </c>
      <c r="N69" s="8">
        <f>SUM(W7,W23)</f>
        <v>4.4499999999999998E-2</v>
      </c>
      <c r="O69" s="8">
        <f>SUM(W10,W23)</f>
        <v>3.95E-2</v>
      </c>
      <c r="P69" s="21">
        <f>Q68/P68</f>
        <v>3.227226819574306E-2</v>
      </c>
      <c r="R69" s="8">
        <f>SUM($W$10,$W$23)</f>
        <v>3.95E-2</v>
      </c>
    </row>
    <row r="70" spans="2:26" s="3" customFormat="1" ht="13.15" hidden="1" x14ac:dyDescent="0.25">
      <c r="B70" s="3" t="s">
        <v>632</v>
      </c>
      <c r="C70" s="14">
        <f>C46*X19</f>
        <v>279540</v>
      </c>
      <c r="D70" s="14">
        <f>D46*X20</f>
        <v>194460</v>
      </c>
      <c r="E70" s="14">
        <f t="shared" si="9"/>
        <v>89733.333333333328</v>
      </c>
      <c r="F70" s="14"/>
      <c r="G70" s="14"/>
      <c r="H70" s="14"/>
      <c r="I70" s="61">
        <f t="shared" si="7"/>
        <v>-2406466.6666666665</v>
      </c>
      <c r="J70" s="61">
        <f t="shared" si="10"/>
        <v>-203533.33333333334</v>
      </c>
      <c r="K70" s="14"/>
      <c r="L70" s="14"/>
      <c r="M70" s="14"/>
      <c r="N70" s="62">
        <f>SUM(-C70,-D70)</f>
        <v>-474000</v>
      </c>
      <c r="O70" s="14">
        <f>-SUM(C70,D70,E70,I70,J70,N70)</f>
        <v>2520266.666666666</v>
      </c>
      <c r="P70" s="24">
        <f>SUM(P68,R70)</f>
        <v>-44422175.643372603</v>
      </c>
      <c r="Q70" s="25">
        <f>SUM(S70,T70)</f>
        <v>-1443993.3609546714</v>
      </c>
      <c r="R70" s="24">
        <f>SUM(C70,D70,N70,Q70)</f>
        <v>-1443993.3609546714</v>
      </c>
      <c r="S70" s="24">
        <f>SUM((SUM(I53,-I54,-I56,-I58,-I60,-I62,-I64,-I66,-I68,-I70)*I71),(SUM(J53,-J54,-J56,-J58,-J60,-J62,-J64,-J66,-J68,-J70)*J71),(SUM(K53,-K54)*K71),(-O54*O55),(-O56*O57),(-O58*O59),(-O60*O61),(-O62*O63),(-O64*O65),(-O66*O67),(-O68*O69),(-O70*O71),(R54*R55),(R56*R57),(R58*R59),(R60*R61),(R62*R63),(R64*R65),(R66*R67),(R68*R69))</f>
        <v>-1704826.9876213381</v>
      </c>
      <c r="T70" s="50">
        <f>SUM((SUM(C53,-C54,-C56,-C58,-C60,-C62,-C64,-C66,-C68,-C70)*C71),(SUM(D53,-D54,-D56,-D58,-D60,-D62,-D64,-D66,-D68,-D70)*D71),(SUM(E53,-E54,-E56,-E58,-E60,-E62,-E64,-E66,-E68,-E70)*E71),(SUM(G53,-G54)*G71),(-N54*N55),(-N56*N57),(-N58*N59),(-N60*N61),(-N62*N63),(-N64*N65),(-N66*N67),(-N68*N69),(-N70*N71))</f>
        <v>260833.62666666668</v>
      </c>
      <c r="U70" s="186"/>
    </row>
    <row r="71" spans="2:26" s="3" customFormat="1" ht="13.15" hidden="1" x14ac:dyDescent="0.25">
      <c r="B71" s="3" t="s">
        <v>633</v>
      </c>
      <c r="C71" s="21">
        <f>C47</f>
        <v>2.355714285714286E-2</v>
      </c>
      <c r="D71" s="21">
        <f>D47</f>
        <v>2.355714285714286E-2</v>
      </c>
      <c r="E71" s="21">
        <f t="shared" si="9"/>
        <v>2.355714285714286E-2</v>
      </c>
      <c r="F71" s="21">
        <f>F47</f>
        <v>0</v>
      </c>
      <c r="G71" s="21">
        <f>SUM(W8,W23)</f>
        <v>0.03</v>
      </c>
      <c r="H71" s="21">
        <f>H47</f>
        <v>0</v>
      </c>
      <c r="I71" s="21">
        <f>I47</f>
        <v>2.1557142857142858E-2</v>
      </c>
      <c r="J71" s="21">
        <f t="shared" si="10"/>
        <v>2.1557142857142858E-2</v>
      </c>
      <c r="K71" s="21">
        <f>SUM(W9,W23)</f>
        <v>3.6999999999999998E-2</v>
      </c>
      <c r="L71" s="21">
        <f>L47</f>
        <v>0</v>
      </c>
      <c r="M71" s="21">
        <f>M47</f>
        <v>0</v>
      </c>
      <c r="N71" s="8">
        <f>SUM(W7,W23)</f>
        <v>4.4499999999999998E-2</v>
      </c>
      <c r="O71" s="8">
        <f>SUM(W10,W23)</f>
        <v>3.95E-2</v>
      </c>
      <c r="P71" s="21">
        <f>Q70/P70</f>
        <v>3.2506137757575194E-2</v>
      </c>
      <c r="R71" s="8">
        <f>SUM($W$10,$W$23)</f>
        <v>3.95E-2</v>
      </c>
    </row>
    <row r="72" spans="2:26" s="3" customFormat="1" ht="13.15" hidden="1" x14ac:dyDescent="0.25">
      <c r="B72" s="3" t="s">
        <v>775</v>
      </c>
      <c r="C72" s="14">
        <f>C48*X19</f>
        <v>279540</v>
      </c>
      <c r="D72" s="14">
        <f>D48*X20</f>
        <v>194460</v>
      </c>
      <c r="E72" s="14">
        <f t="shared" si="9"/>
        <v>89733.333333333328</v>
      </c>
      <c r="I72" s="61">
        <f t="shared" si="7"/>
        <v>-2406466.6666666665</v>
      </c>
      <c r="J72" s="61">
        <f t="shared" si="10"/>
        <v>-203533.33333333334</v>
      </c>
      <c r="N72" s="62">
        <f>SUM(-C72,-D72)</f>
        <v>-474000</v>
      </c>
      <c r="O72" s="14">
        <f>-SUM(C72,D72,E72,I72,J72,N72)</f>
        <v>2520266.666666666</v>
      </c>
      <c r="P72" s="24">
        <f>SUM(P70,R72)</f>
        <v>-45938792.444942124</v>
      </c>
      <c r="Q72" s="25">
        <f>SUM(S72,T72)</f>
        <v>-1516616.801569524</v>
      </c>
      <c r="R72" s="24">
        <f>SUM(C72,D72,N72,Q72)</f>
        <v>-1516616.801569524</v>
      </c>
      <c r="S72" s="24">
        <f>SUM((SUM(I53,-I54,-I56,-I58,-I60,-I62,-I64,-I66,-I68,-I70,-I72)*I73),(SUM(J53,-J54,-J56,-J58,-J60,-J62,-J64,-J66,-J68,-J70,-J72)*J73),(SUM(K53,-K54)*K73),(-O54*O55),(-O56*O57),(-O58*O59),(-O60*O61),(-O62*O63),(-O64*O65),(-O66*O67),(-O68*O69),(-O70*O71),(-O72*O73),(R54*R55),(R56*R57),(R58*R59),(R60*R61),(R62*R63),(R64*R65),(R66*R67),(R68*R69),(R70*R71))</f>
        <v>-1778305.4015695241</v>
      </c>
      <c r="T72" s="50">
        <f>SUM((SUM(C53,-C54,-C56,-C58,-C60,-C62,-C64,-C66,-C68,-C70,-C72)*C73),(SUM(D53,-D54,-D56,-D58,-D60,-D62,-D64,-D66,-D68,-D70,-D72)*D73),(SUM(E53,-E54,-E56,-E58,-E60,-E62,-E64,-E66,-E68,-E70,-E72)*E73),(SUM(G53,-G54)*G73),(-N54*N55),(-N56*N57),(-N58*N59),(-N60*N61),(-N62*N63),(-N64*N65),(-N66*N67),(-N68*N69),(-N70*N71),(-N72*N73))</f>
        <v>261688.60000000003</v>
      </c>
      <c r="U72" s="185"/>
    </row>
    <row r="73" spans="2:26" s="3" customFormat="1" ht="13.15" hidden="1" x14ac:dyDescent="0.25">
      <c r="B73" s="3" t="s">
        <v>776</v>
      </c>
      <c r="C73" s="21">
        <f>C49</f>
        <v>2.1500000000000005E-2</v>
      </c>
      <c r="D73" s="21">
        <f>D49</f>
        <v>2.1500000000000005E-2</v>
      </c>
      <c r="E73" s="21">
        <f t="shared" si="9"/>
        <v>2.1500000000000005E-2</v>
      </c>
      <c r="F73" s="21">
        <f>F49</f>
        <v>0</v>
      </c>
      <c r="G73" s="21">
        <f>SUM(W8,W23)</f>
        <v>0.03</v>
      </c>
      <c r="H73" s="21">
        <f>H49</f>
        <v>0</v>
      </c>
      <c r="I73" s="21">
        <f>I49</f>
        <v>1.9500000000000003E-2</v>
      </c>
      <c r="J73" s="21">
        <f t="shared" si="10"/>
        <v>1.9500000000000003E-2</v>
      </c>
      <c r="K73" s="21">
        <f>SUM(W9,W23)</f>
        <v>3.6999999999999998E-2</v>
      </c>
      <c r="L73" s="21">
        <f>L49</f>
        <v>0</v>
      </c>
      <c r="M73" s="21">
        <f>M49</f>
        <v>0</v>
      </c>
      <c r="N73" s="8">
        <f>SUM(W7,W23)</f>
        <v>4.4499999999999998E-2</v>
      </c>
      <c r="O73" s="8">
        <f>SUM(W10,W23)</f>
        <v>3.95E-2</v>
      </c>
      <c r="P73" s="21">
        <f>Q72/P72</f>
        <v>3.3013858677003689E-2</v>
      </c>
      <c r="R73" s="8">
        <f>SUM($W$10,$W$23)</f>
        <v>3.95E-2</v>
      </c>
    </row>
    <row r="74" spans="2:26" ht="13.15" x14ac:dyDescent="0.25">
      <c r="C74" s="4"/>
      <c r="D74" s="4"/>
      <c r="E74" s="10"/>
      <c r="F74" s="20"/>
      <c r="G74" s="20"/>
      <c r="H74" s="20"/>
      <c r="I74" s="10"/>
      <c r="J74" s="10"/>
      <c r="K74" s="4"/>
      <c r="L74" s="20"/>
      <c r="M74" s="20"/>
      <c r="N74" s="8"/>
      <c r="O74" s="8"/>
      <c r="P74" s="7"/>
      <c r="V74" s="49"/>
      <c r="Z74" s="3"/>
    </row>
  </sheetData>
  <sheetProtection algorithmName="SHA-512" hashValue="o0t7DXXnUDifwhDqC9xYiC8uTEqZUlQBoHTYR6YaVzlaqE3hmxMzWEvqErxZ2S5xpJU/Sw7Zf79nvC7vrL9RBQ==" saltValue="P1aX2dhLxmz7C1g8MjoCKg==" spinCount="100000" sheet="1" selectLockedCells="1"/>
  <customSheetViews>
    <customSheetView guid="{B41B624D-DA5C-4FA3-85F1-D5B8087B6A65}">
      <pageMargins left="0.7" right="0.7" top="0.75" bottom="0.75" header="0.3" footer="0.3"/>
    </customSheetView>
  </customSheetViews>
  <mergeCells count="1">
    <mergeCell ref="A1:B1"/>
  </mergeCells>
  <conditionalFormatting sqref="G6">
    <cfRule type="cellIs" dxfId="637" priority="798" operator="greaterThan">
      <formula>0</formula>
    </cfRule>
    <cfRule type="cellIs" dxfId="636" priority="799" operator="greaterThan">
      <formula>0</formula>
    </cfRule>
    <cfRule type="cellIs" dxfId="635" priority="800" operator="greaterThan">
      <formula>0</formula>
    </cfRule>
    <cfRule type="cellIs" dxfId="634" priority="802" operator="greaterThan">
      <formula>0</formula>
    </cfRule>
    <cfRule type="cellIs" dxfId="633" priority="806" operator="greaterThan">
      <formula>0</formula>
    </cfRule>
  </conditionalFormatting>
  <conditionalFormatting sqref="F8:G8">
    <cfRule type="cellIs" dxfId="632" priority="797" operator="greaterThan">
      <formula>0</formula>
    </cfRule>
    <cfRule type="cellIs" dxfId="631" priority="803" operator="greaterThan">
      <formula>0</formula>
    </cfRule>
    <cfRule type="cellIs" dxfId="630" priority="805" operator="greaterThan">
      <formula>" € - "</formula>
    </cfRule>
  </conditionalFormatting>
  <conditionalFormatting sqref="F10:G10 F12:G12">
    <cfRule type="cellIs" dxfId="629" priority="796" operator="greaterThan">
      <formula>0</formula>
    </cfRule>
    <cfRule type="cellIs" dxfId="628" priority="804" operator="greaterThan">
      <formula>0</formula>
    </cfRule>
  </conditionalFormatting>
  <conditionalFormatting sqref="F12:G12 C10 C12 C14 C16 C18 C20 C22 C24 C6:D6 I32:J32 J30 I48:J48 I34:J34 I36:J36 I38:J38 I40:J40 I42:J42 I44:J44 I46:J46 L29 C8:D8">
    <cfRule type="cellIs" dxfId="627" priority="794" operator="greaterThan">
      <formula>0</formula>
    </cfRule>
  </conditionalFormatting>
  <conditionalFormatting sqref="D10">
    <cfRule type="cellIs" dxfId="626" priority="791" operator="greaterThan">
      <formula>0</formula>
    </cfRule>
    <cfRule type="cellIs" dxfId="625" priority="792" operator="greaterThan">
      <formula>0</formula>
    </cfRule>
  </conditionalFormatting>
  <conditionalFormatting sqref="D12">
    <cfRule type="cellIs" dxfId="624" priority="790" operator="greaterThan">
      <formula>0</formula>
    </cfRule>
  </conditionalFormatting>
  <conditionalFormatting sqref="G6 G8">
    <cfRule type="cellIs" dxfId="623" priority="733" operator="greaterThan">
      <formula>0</formula>
    </cfRule>
    <cfRule type="cellIs" dxfId="622" priority="738" operator="greaterThan">
      <formula>" € - "</formula>
    </cfRule>
  </conditionalFormatting>
  <conditionalFormatting sqref="G10">
    <cfRule type="cellIs" dxfId="621" priority="734" operator="greaterThan">
      <formula>0</formula>
    </cfRule>
    <cfRule type="cellIs" dxfId="620" priority="736" operator="greaterThan">
      <formula>" €0 - "</formula>
    </cfRule>
  </conditionalFormatting>
  <conditionalFormatting sqref="I30">
    <cfRule type="cellIs" dxfId="619" priority="729" operator="greaterThan">
      <formula>0</formula>
    </cfRule>
    <cfRule type="cellIs" dxfId="618" priority="730" operator="greaterThan">
      <formula>0</formula>
    </cfRule>
  </conditionalFormatting>
  <conditionalFormatting sqref="G6">
    <cfRule type="cellIs" dxfId="617" priority="673" operator="greaterThan">
      <formula>0</formula>
    </cfRule>
  </conditionalFormatting>
  <conditionalFormatting sqref="G8">
    <cfRule type="cellIs" dxfId="616" priority="668" operator="greaterThan">
      <formula>0</formula>
    </cfRule>
    <cfRule type="cellIs" dxfId="615" priority="669" operator="greaterThan">
      <formula>0</formula>
    </cfRule>
    <cfRule type="cellIs" dxfId="614" priority="670" operator="greaterThan">
      <formula>0</formula>
    </cfRule>
    <cfRule type="cellIs" dxfId="613" priority="671" operator="greaterThan">
      <formula>0</formula>
    </cfRule>
    <cfRule type="cellIs" dxfId="612" priority="672" operator="greaterThan">
      <formula>0</formula>
    </cfRule>
  </conditionalFormatting>
  <conditionalFormatting sqref="G8">
    <cfRule type="cellIs" dxfId="611" priority="667" operator="greaterThan">
      <formula>0</formula>
    </cfRule>
  </conditionalFormatting>
  <conditionalFormatting sqref="E8">
    <cfRule type="cellIs" dxfId="610" priority="653" operator="greaterThan">
      <formula>0</formula>
    </cfRule>
    <cfRule type="cellIs" dxfId="609" priority="654" operator="greaterThan">
      <formula>0</formula>
    </cfRule>
    <cfRule type="cellIs" dxfId="608" priority="655" operator="greaterThan">
      <formula>" € - "</formula>
    </cfRule>
  </conditionalFormatting>
  <conditionalFormatting sqref="E8">
    <cfRule type="cellIs" dxfId="607" priority="651" operator="greaterThan">
      <formula>0</formula>
    </cfRule>
    <cfRule type="cellIs" dxfId="606" priority="652" operator="greaterThan">
      <formula>" € - "</formula>
    </cfRule>
  </conditionalFormatting>
  <conditionalFormatting sqref="E8">
    <cfRule type="cellIs" dxfId="605" priority="646" operator="greaterThan">
      <formula>0</formula>
    </cfRule>
    <cfRule type="cellIs" dxfId="604" priority="647" operator="greaterThan">
      <formula>0</formula>
    </cfRule>
    <cfRule type="cellIs" dxfId="603" priority="648" operator="greaterThan">
      <formula>0</formula>
    </cfRule>
    <cfRule type="cellIs" dxfId="602" priority="649" operator="greaterThan">
      <formula>0</formula>
    </cfRule>
    <cfRule type="cellIs" dxfId="601" priority="650" operator="greaterThan">
      <formula>0</formula>
    </cfRule>
  </conditionalFormatting>
  <conditionalFormatting sqref="E8">
    <cfRule type="cellIs" dxfId="600" priority="645" operator="greaterThan">
      <formula>0</formula>
    </cfRule>
  </conditionalFormatting>
  <conditionalFormatting sqref="E10">
    <cfRule type="cellIs" dxfId="599" priority="642" operator="greaterThan">
      <formula>0</formula>
    </cfRule>
    <cfRule type="cellIs" dxfId="598" priority="643" operator="greaterThan">
      <formula>0</formula>
    </cfRule>
    <cfRule type="cellIs" dxfId="597" priority="644" operator="greaterThan">
      <formula>" € - "</formula>
    </cfRule>
  </conditionalFormatting>
  <conditionalFormatting sqref="E10">
    <cfRule type="cellIs" dxfId="596" priority="640" operator="greaterThan">
      <formula>0</formula>
    </cfRule>
    <cfRule type="cellIs" dxfId="595" priority="641" operator="greaterThan">
      <formula>" € - "</formula>
    </cfRule>
  </conditionalFormatting>
  <conditionalFormatting sqref="E10">
    <cfRule type="cellIs" dxfId="594" priority="635" operator="greaterThan">
      <formula>0</formula>
    </cfRule>
    <cfRule type="cellIs" dxfId="593" priority="636" operator="greaterThan">
      <formula>0</formula>
    </cfRule>
    <cfRule type="cellIs" dxfId="592" priority="637" operator="greaterThan">
      <formula>0</formula>
    </cfRule>
    <cfRule type="cellIs" dxfId="591" priority="638" operator="greaterThan">
      <formula>0</formula>
    </cfRule>
    <cfRule type="cellIs" dxfId="590" priority="639" operator="greaterThan">
      <formula>0</formula>
    </cfRule>
  </conditionalFormatting>
  <conditionalFormatting sqref="E10">
    <cfRule type="cellIs" dxfId="589" priority="634" operator="greaterThan">
      <formula>0</formula>
    </cfRule>
  </conditionalFormatting>
  <conditionalFormatting sqref="E12">
    <cfRule type="cellIs" dxfId="588" priority="631" operator="greaterThan">
      <formula>0</formula>
    </cfRule>
    <cfRule type="cellIs" dxfId="587" priority="632" operator="greaterThan">
      <formula>0</formula>
    </cfRule>
    <cfRule type="cellIs" dxfId="586" priority="633" operator="greaterThan">
      <formula>" € - "</formula>
    </cfRule>
  </conditionalFormatting>
  <conditionalFormatting sqref="E12">
    <cfRule type="cellIs" dxfId="585" priority="629" operator="greaterThan">
      <formula>0</formula>
    </cfRule>
    <cfRule type="cellIs" dxfId="584" priority="630" operator="greaterThan">
      <formula>" € - "</formula>
    </cfRule>
  </conditionalFormatting>
  <conditionalFormatting sqref="E12">
    <cfRule type="cellIs" dxfId="583" priority="624" operator="greaterThan">
      <formula>0</formula>
    </cfRule>
    <cfRule type="cellIs" dxfId="582" priority="625" operator="greaterThan">
      <formula>0</formula>
    </cfRule>
    <cfRule type="cellIs" dxfId="581" priority="626" operator="greaterThan">
      <formula>0</formula>
    </cfRule>
    <cfRule type="cellIs" dxfId="580" priority="627" operator="greaterThan">
      <formula>0</formula>
    </cfRule>
    <cfRule type="cellIs" dxfId="579" priority="628" operator="greaterThan">
      <formula>0</formula>
    </cfRule>
  </conditionalFormatting>
  <conditionalFormatting sqref="E12">
    <cfRule type="cellIs" dxfId="578" priority="623" operator="greaterThan">
      <formula>0</formula>
    </cfRule>
  </conditionalFormatting>
  <conditionalFormatting sqref="E14">
    <cfRule type="cellIs" dxfId="577" priority="620" operator="greaterThan">
      <formula>0</formula>
    </cfRule>
    <cfRule type="cellIs" dxfId="576" priority="621" operator="greaterThan">
      <formula>0</formula>
    </cfRule>
    <cfRule type="cellIs" dxfId="575" priority="622" operator="greaterThan">
      <formula>" € - "</formula>
    </cfRule>
  </conditionalFormatting>
  <conditionalFormatting sqref="E14">
    <cfRule type="cellIs" dxfId="574" priority="618" operator="greaterThan">
      <formula>0</formula>
    </cfRule>
    <cfRule type="cellIs" dxfId="573" priority="619" operator="greaterThan">
      <formula>" € - "</formula>
    </cfRule>
  </conditionalFormatting>
  <conditionalFormatting sqref="E14">
    <cfRule type="cellIs" dxfId="572" priority="613" operator="greaterThan">
      <formula>0</formula>
    </cfRule>
    <cfRule type="cellIs" dxfId="571" priority="614" operator="greaterThan">
      <formula>0</formula>
    </cfRule>
    <cfRule type="cellIs" dxfId="570" priority="615" operator="greaterThan">
      <formula>0</formula>
    </cfRule>
    <cfRule type="cellIs" dxfId="569" priority="616" operator="greaterThan">
      <formula>0</formula>
    </cfRule>
    <cfRule type="cellIs" dxfId="568" priority="617" operator="greaterThan">
      <formula>0</formula>
    </cfRule>
  </conditionalFormatting>
  <conditionalFormatting sqref="E14">
    <cfRule type="cellIs" dxfId="567" priority="612" operator="greaterThan">
      <formula>0</formula>
    </cfRule>
  </conditionalFormatting>
  <conditionalFormatting sqref="E16">
    <cfRule type="cellIs" dxfId="566" priority="609" operator="greaterThan">
      <formula>0</formula>
    </cfRule>
    <cfRule type="cellIs" dxfId="565" priority="610" operator="greaterThan">
      <formula>0</formula>
    </cfRule>
    <cfRule type="cellIs" dxfId="564" priority="611" operator="greaterThan">
      <formula>" € - "</formula>
    </cfRule>
  </conditionalFormatting>
  <conditionalFormatting sqref="E16">
    <cfRule type="cellIs" dxfId="563" priority="607" operator="greaterThan">
      <formula>0</formula>
    </cfRule>
    <cfRule type="cellIs" dxfId="562" priority="608" operator="greaterThan">
      <formula>" € - "</formula>
    </cfRule>
  </conditionalFormatting>
  <conditionalFormatting sqref="E16">
    <cfRule type="cellIs" dxfId="561" priority="602" operator="greaterThan">
      <formula>0</formula>
    </cfRule>
    <cfRule type="cellIs" dxfId="560" priority="603" operator="greaterThan">
      <formula>0</formula>
    </cfRule>
    <cfRule type="cellIs" dxfId="559" priority="604" operator="greaterThan">
      <formula>0</formula>
    </cfRule>
    <cfRule type="cellIs" dxfId="558" priority="605" operator="greaterThan">
      <formula>0</formula>
    </cfRule>
    <cfRule type="cellIs" dxfId="557" priority="606" operator="greaterThan">
      <formula>0</formula>
    </cfRule>
  </conditionalFormatting>
  <conditionalFormatting sqref="E16">
    <cfRule type="cellIs" dxfId="556" priority="601" operator="greaterThan">
      <formula>0</formula>
    </cfRule>
  </conditionalFormatting>
  <conditionalFormatting sqref="E18">
    <cfRule type="cellIs" dxfId="555" priority="598" operator="greaterThan">
      <formula>0</formula>
    </cfRule>
    <cfRule type="cellIs" dxfId="554" priority="599" operator="greaterThan">
      <formula>0</formula>
    </cfRule>
    <cfRule type="cellIs" dxfId="553" priority="600" operator="greaterThan">
      <formula>" € - "</formula>
    </cfRule>
  </conditionalFormatting>
  <conditionalFormatting sqref="E18">
    <cfRule type="cellIs" dxfId="552" priority="596" operator="greaterThan">
      <formula>0</formula>
    </cfRule>
    <cfRule type="cellIs" dxfId="551" priority="597" operator="greaterThan">
      <formula>" € - "</formula>
    </cfRule>
  </conditionalFormatting>
  <conditionalFormatting sqref="E18">
    <cfRule type="cellIs" dxfId="550" priority="591" operator="greaterThan">
      <formula>0</formula>
    </cfRule>
    <cfRule type="cellIs" dxfId="549" priority="592" operator="greaterThan">
      <formula>0</formula>
    </cfRule>
    <cfRule type="cellIs" dxfId="548" priority="593" operator="greaterThan">
      <formula>0</formula>
    </cfRule>
    <cfRule type="cellIs" dxfId="547" priority="594" operator="greaterThan">
      <formula>0</formula>
    </cfRule>
    <cfRule type="cellIs" dxfId="546" priority="595" operator="greaterThan">
      <formula>0</formula>
    </cfRule>
  </conditionalFormatting>
  <conditionalFormatting sqref="E18">
    <cfRule type="cellIs" dxfId="545" priority="590" operator="greaterThan">
      <formula>0</formula>
    </cfRule>
  </conditionalFormatting>
  <conditionalFormatting sqref="E20">
    <cfRule type="cellIs" dxfId="544" priority="587" operator="greaterThan">
      <formula>0</formula>
    </cfRule>
    <cfRule type="cellIs" dxfId="543" priority="588" operator="greaterThan">
      <formula>0</formula>
    </cfRule>
    <cfRule type="cellIs" dxfId="542" priority="589" operator="greaterThan">
      <formula>" € - "</formula>
    </cfRule>
  </conditionalFormatting>
  <conditionalFormatting sqref="E20">
    <cfRule type="cellIs" dxfId="541" priority="585" operator="greaterThan">
      <formula>0</formula>
    </cfRule>
    <cfRule type="cellIs" dxfId="540" priority="586" operator="greaterThan">
      <formula>" € - "</formula>
    </cfRule>
  </conditionalFormatting>
  <conditionalFormatting sqref="E20">
    <cfRule type="cellIs" dxfId="539" priority="580" operator="greaterThan">
      <formula>0</formula>
    </cfRule>
    <cfRule type="cellIs" dxfId="538" priority="581" operator="greaterThan">
      <formula>0</formula>
    </cfRule>
    <cfRule type="cellIs" dxfId="537" priority="582" operator="greaterThan">
      <formula>0</formula>
    </cfRule>
    <cfRule type="cellIs" dxfId="536" priority="583" operator="greaterThan">
      <formula>0</formula>
    </cfRule>
    <cfRule type="cellIs" dxfId="535" priority="584" operator="greaterThan">
      <formula>0</formula>
    </cfRule>
  </conditionalFormatting>
  <conditionalFormatting sqref="E20">
    <cfRule type="cellIs" dxfId="534" priority="579" operator="greaterThan">
      <formula>0</formula>
    </cfRule>
  </conditionalFormatting>
  <conditionalFormatting sqref="E22">
    <cfRule type="cellIs" dxfId="533" priority="576" operator="greaterThan">
      <formula>0</formula>
    </cfRule>
    <cfRule type="cellIs" dxfId="532" priority="577" operator="greaterThan">
      <formula>0</formula>
    </cfRule>
    <cfRule type="cellIs" dxfId="531" priority="578" operator="greaterThan">
      <formula>" € - "</formula>
    </cfRule>
  </conditionalFormatting>
  <conditionalFormatting sqref="E22">
    <cfRule type="cellIs" dxfId="530" priority="574" operator="greaterThan">
      <formula>0</formula>
    </cfRule>
    <cfRule type="cellIs" dxfId="529" priority="575" operator="greaterThan">
      <formula>" € - "</formula>
    </cfRule>
  </conditionalFormatting>
  <conditionalFormatting sqref="E22">
    <cfRule type="cellIs" dxfId="528" priority="569" operator="greaterThan">
      <formula>0</formula>
    </cfRule>
    <cfRule type="cellIs" dxfId="527" priority="570" operator="greaterThan">
      <formula>0</formula>
    </cfRule>
    <cfRule type="cellIs" dxfId="526" priority="571" operator="greaterThan">
      <formula>0</formula>
    </cfRule>
    <cfRule type="cellIs" dxfId="525" priority="572" operator="greaterThan">
      <formula>0</formula>
    </cfRule>
    <cfRule type="cellIs" dxfId="524" priority="573" operator="greaterThan">
      <formula>0</formula>
    </cfRule>
  </conditionalFormatting>
  <conditionalFormatting sqref="E22">
    <cfRule type="cellIs" dxfId="523" priority="568" operator="greaterThan">
      <formula>0</formula>
    </cfRule>
  </conditionalFormatting>
  <conditionalFormatting sqref="E24">
    <cfRule type="cellIs" dxfId="522" priority="565" operator="greaterThan">
      <formula>0</formula>
    </cfRule>
    <cfRule type="cellIs" dxfId="521" priority="566" operator="greaterThan">
      <formula>0</formula>
    </cfRule>
    <cfRule type="cellIs" dxfId="520" priority="567" operator="greaterThan">
      <formula>" € - "</formula>
    </cfRule>
  </conditionalFormatting>
  <conditionalFormatting sqref="E24">
    <cfRule type="cellIs" dxfId="519" priority="563" operator="greaterThan">
      <formula>0</formula>
    </cfRule>
    <cfRule type="cellIs" dxfId="518" priority="564" operator="greaterThan">
      <formula>" € - "</formula>
    </cfRule>
  </conditionalFormatting>
  <conditionalFormatting sqref="E24">
    <cfRule type="cellIs" dxfId="517" priority="558" operator="greaterThan">
      <formula>0</formula>
    </cfRule>
    <cfRule type="cellIs" dxfId="516" priority="559" operator="greaterThan">
      <formula>0</formula>
    </cfRule>
    <cfRule type="cellIs" dxfId="515" priority="560" operator="greaterThan">
      <formula>0</formula>
    </cfRule>
    <cfRule type="cellIs" dxfId="514" priority="561" operator="greaterThan">
      <formula>0</formula>
    </cfRule>
    <cfRule type="cellIs" dxfId="513" priority="562" operator="greaterThan">
      <formula>0</formula>
    </cfRule>
  </conditionalFormatting>
  <conditionalFormatting sqref="E24">
    <cfRule type="cellIs" dxfId="512" priority="557" operator="greaterThan">
      <formula>0</formula>
    </cfRule>
  </conditionalFormatting>
  <conditionalFormatting sqref="I30">
    <cfRule type="cellIs" dxfId="511" priority="556" operator="greaterThan">
      <formula>0</formula>
    </cfRule>
  </conditionalFormatting>
  <conditionalFormatting sqref="I32">
    <cfRule type="cellIs" dxfId="510" priority="554" operator="greaterThan">
      <formula>0</formula>
    </cfRule>
    <cfRule type="cellIs" dxfId="509" priority="555" operator="greaterThan">
      <formula>0</formula>
    </cfRule>
  </conditionalFormatting>
  <conditionalFormatting sqref="I32">
    <cfRule type="cellIs" dxfId="508" priority="553" operator="greaterThan">
      <formula>0</formula>
    </cfRule>
  </conditionalFormatting>
  <conditionalFormatting sqref="J32">
    <cfRule type="cellIs" dxfId="507" priority="551" operator="greaterThan">
      <formula>0</formula>
    </cfRule>
    <cfRule type="cellIs" dxfId="506" priority="552" operator="greaterThan">
      <formula>0</formula>
    </cfRule>
  </conditionalFormatting>
  <conditionalFormatting sqref="J32">
    <cfRule type="cellIs" dxfId="505" priority="550" operator="greaterThan">
      <formula>0</formula>
    </cfRule>
  </conditionalFormatting>
  <conditionalFormatting sqref="I34">
    <cfRule type="cellIs" dxfId="504" priority="548" operator="greaterThan">
      <formula>0</formula>
    </cfRule>
    <cfRule type="cellIs" dxfId="503" priority="549" operator="greaterThan">
      <formula>0</formula>
    </cfRule>
  </conditionalFormatting>
  <conditionalFormatting sqref="I34">
    <cfRule type="cellIs" dxfId="502" priority="547" operator="greaterThan">
      <formula>0</formula>
    </cfRule>
  </conditionalFormatting>
  <conditionalFormatting sqref="J34">
    <cfRule type="cellIs" dxfId="501" priority="545" operator="greaterThan">
      <formula>0</formula>
    </cfRule>
    <cfRule type="cellIs" dxfId="500" priority="546" operator="greaterThan">
      <formula>0</formula>
    </cfRule>
  </conditionalFormatting>
  <conditionalFormatting sqref="J34">
    <cfRule type="cellIs" dxfId="499" priority="544" operator="greaterThan">
      <formula>0</formula>
    </cfRule>
  </conditionalFormatting>
  <conditionalFormatting sqref="F8">
    <cfRule type="cellIs" dxfId="498" priority="538" operator="greaterThan">
      <formula>0</formula>
    </cfRule>
    <cfRule type="cellIs" dxfId="497" priority="539" operator="greaterThan">
      <formula>0</formula>
    </cfRule>
    <cfRule type="cellIs" dxfId="496" priority="540" operator="greaterThan">
      <formula>0</formula>
    </cfRule>
    <cfRule type="cellIs" dxfId="495" priority="541" operator="greaterThan">
      <formula>0</formula>
    </cfRule>
    <cfRule type="cellIs" dxfId="494" priority="542" operator="greaterThan">
      <formula>0</formula>
    </cfRule>
  </conditionalFormatting>
  <conditionalFormatting sqref="F8">
    <cfRule type="cellIs" dxfId="493" priority="537" operator="greaterThan">
      <formula>0</formula>
    </cfRule>
  </conditionalFormatting>
  <conditionalFormatting sqref="F10">
    <cfRule type="cellIs" dxfId="492" priority="534" operator="greaterThan">
      <formula>0</formula>
    </cfRule>
    <cfRule type="cellIs" dxfId="491" priority="535" operator="greaterThan">
      <formula>0</formula>
    </cfRule>
    <cfRule type="cellIs" dxfId="490" priority="536" operator="greaterThan">
      <formula>" € - "</formula>
    </cfRule>
  </conditionalFormatting>
  <conditionalFormatting sqref="F10">
    <cfRule type="cellIs" dxfId="489" priority="529" operator="greaterThan">
      <formula>0</formula>
    </cfRule>
    <cfRule type="cellIs" dxfId="488" priority="530" operator="greaterThan">
      <formula>0</formula>
    </cfRule>
    <cfRule type="cellIs" dxfId="487" priority="531" operator="greaterThan">
      <formula>0</formula>
    </cfRule>
    <cfRule type="cellIs" dxfId="486" priority="532" operator="greaterThan">
      <formula>0</formula>
    </cfRule>
    <cfRule type="cellIs" dxfId="485" priority="533" operator="greaterThan">
      <formula>0</formula>
    </cfRule>
  </conditionalFormatting>
  <conditionalFormatting sqref="F10">
    <cfRule type="cellIs" dxfId="484" priority="528" operator="greaterThan">
      <formula>0</formula>
    </cfRule>
  </conditionalFormatting>
  <conditionalFormatting sqref="F12">
    <cfRule type="cellIs" dxfId="483" priority="525" operator="greaterThan">
      <formula>0</formula>
    </cfRule>
    <cfRule type="cellIs" dxfId="482" priority="526" operator="greaterThan">
      <formula>0</formula>
    </cfRule>
    <cfRule type="cellIs" dxfId="481" priority="527" operator="greaterThan">
      <formula>" € - "</formula>
    </cfRule>
  </conditionalFormatting>
  <conditionalFormatting sqref="F12">
    <cfRule type="cellIs" dxfId="480" priority="520" operator="greaterThan">
      <formula>0</formula>
    </cfRule>
    <cfRule type="cellIs" dxfId="479" priority="521" operator="greaterThan">
      <formula>0</formula>
    </cfRule>
    <cfRule type="cellIs" dxfId="478" priority="522" operator="greaterThan">
      <formula>0</formula>
    </cfRule>
    <cfRule type="cellIs" dxfId="477" priority="523" operator="greaterThan">
      <formula>0</formula>
    </cfRule>
    <cfRule type="cellIs" dxfId="476" priority="524" operator="greaterThan">
      <formula>0</formula>
    </cfRule>
  </conditionalFormatting>
  <conditionalFormatting sqref="F12">
    <cfRule type="cellIs" dxfId="475" priority="519" operator="greaterThan">
      <formula>0</formula>
    </cfRule>
  </conditionalFormatting>
  <conditionalFormatting sqref="I36">
    <cfRule type="cellIs" dxfId="474" priority="517" operator="greaterThan">
      <formula>0</formula>
    </cfRule>
    <cfRule type="cellIs" dxfId="473" priority="518" operator="greaterThan">
      <formula>0</formula>
    </cfRule>
  </conditionalFormatting>
  <conditionalFormatting sqref="I36">
    <cfRule type="cellIs" dxfId="472" priority="516" operator="greaterThan">
      <formula>0</formula>
    </cfRule>
  </conditionalFormatting>
  <conditionalFormatting sqref="I38">
    <cfRule type="cellIs" dxfId="471" priority="514" operator="greaterThan">
      <formula>0</formula>
    </cfRule>
    <cfRule type="cellIs" dxfId="470" priority="515" operator="greaterThan">
      <formula>0</formula>
    </cfRule>
  </conditionalFormatting>
  <conditionalFormatting sqref="I38">
    <cfRule type="cellIs" dxfId="469" priority="513" operator="greaterThan">
      <formula>0</formula>
    </cfRule>
  </conditionalFormatting>
  <conditionalFormatting sqref="I40">
    <cfRule type="cellIs" dxfId="468" priority="511" operator="greaterThan">
      <formula>0</formula>
    </cfRule>
    <cfRule type="cellIs" dxfId="467" priority="512" operator="greaterThan">
      <formula>0</formula>
    </cfRule>
  </conditionalFormatting>
  <conditionalFormatting sqref="I40">
    <cfRule type="cellIs" dxfId="466" priority="510" operator="greaterThan">
      <formula>0</formula>
    </cfRule>
  </conditionalFormatting>
  <conditionalFormatting sqref="I42">
    <cfRule type="cellIs" dxfId="465" priority="508" operator="greaterThan">
      <formula>0</formula>
    </cfRule>
    <cfRule type="cellIs" dxfId="464" priority="509" operator="greaterThan">
      <formula>0</formula>
    </cfRule>
  </conditionalFormatting>
  <conditionalFormatting sqref="I42">
    <cfRule type="cellIs" dxfId="463" priority="507" operator="greaterThan">
      <formula>0</formula>
    </cfRule>
  </conditionalFormatting>
  <conditionalFormatting sqref="I44">
    <cfRule type="cellIs" dxfId="462" priority="505" operator="greaterThan">
      <formula>0</formula>
    </cfRule>
    <cfRule type="cellIs" dxfId="461" priority="506" operator="greaterThan">
      <formula>0</formula>
    </cfRule>
  </conditionalFormatting>
  <conditionalFormatting sqref="I44">
    <cfRule type="cellIs" dxfId="460" priority="504" operator="greaterThan">
      <formula>0</formula>
    </cfRule>
  </conditionalFormatting>
  <conditionalFormatting sqref="I46">
    <cfRule type="cellIs" dxfId="459" priority="502" operator="greaterThan">
      <formula>0</formula>
    </cfRule>
    <cfRule type="cellIs" dxfId="458" priority="503" operator="greaterThan">
      <formula>0</formula>
    </cfRule>
  </conditionalFormatting>
  <conditionalFormatting sqref="I46">
    <cfRule type="cellIs" dxfId="457" priority="501" operator="greaterThan">
      <formula>0</formula>
    </cfRule>
  </conditionalFormatting>
  <conditionalFormatting sqref="I48">
    <cfRule type="cellIs" dxfId="456" priority="499" operator="greaterThan">
      <formula>0</formula>
    </cfRule>
    <cfRule type="cellIs" dxfId="455" priority="500" operator="greaterThan">
      <formula>0</formula>
    </cfRule>
  </conditionalFormatting>
  <conditionalFormatting sqref="I48">
    <cfRule type="cellIs" dxfId="454" priority="498" operator="greaterThan">
      <formula>0</formula>
    </cfRule>
  </conditionalFormatting>
  <conditionalFormatting sqref="J36">
    <cfRule type="cellIs" dxfId="453" priority="496" operator="greaterThan">
      <formula>0</formula>
    </cfRule>
    <cfRule type="cellIs" dxfId="452" priority="497" operator="greaterThan">
      <formula>0</formula>
    </cfRule>
  </conditionalFormatting>
  <conditionalFormatting sqref="J36">
    <cfRule type="cellIs" dxfId="451" priority="495" operator="greaterThan">
      <formula>0</formula>
    </cfRule>
  </conditionalFormatting>
  <conditionalFormatting sqref="J38">
    <cfRule type="cellIs" dxfId="450" priority="493" operator="greaterThan">
      <formula>0</formula>
    </cfRule>
    <cfRule type="cellIs" dxfId="449" priority="494" operator="greaterThan">
      <formula>0</formula>
    </cfRule>
  </conditionalFormatting>
  <conditionalFormatting sqref="J38">
    <cfRule type="cellIs" dxfId="448" priority="492" operator="greaterThan">
      <formula>0</formula>
    </cfRule>
  </conditionalFormatting>
  <conditionalFormatting sqref="J40">
    <cfRule type="cellIs" dxfId="447" priority="490" operator="greaterThan">
      <formula>0</formula>
    </cfRule>
    <cfRule type="cellIs" dxfId="446" priority="491" operator="greaterThan">
      <formula>0</formula>
    </cfRule>
  </conditionalFormatting>
  <conditionalFormatting sqref="J40">
    <cfRule type="cellIs" dxfId="445" priority="489" operator="greaterThan">
      <formula>0</formula>
    </cfRule>
  </conditionalFormatting>
  <conditionalFormatting sqref="J42">
    <cfRule type="cellIs" dxfId="444" priority="487" operator="greaterThan">
      <formula>0</formula>
    </cfRule>
    <cfRule type="cellIs" dxfId="443" priority="488" operator="greaterThan">
      <formula>0</formula>
    </cfRule>
  </conditionalFormatting>
  <conditionalFormatting sqref="J42">
    <cfRule type="cellIs" dxfId="442" priority="486" operator="greaterThan">
      <formula>0</formula>
    </cfRule>
  </conditionalFormatting>
  <conditionalFormatting sqref="J44">
    <cfRule type="cellIs" dxfId="441" priority="484" operator="greaterThan">
      <formula>0</formula>
    </cfRule>
    <cfRule type="cellIs" dxfId="440" priority="485" operator="greaterThan">
      <formula>0</formula>
    </cfRule>
  </conditionalFormatting>
  <conditionalFormatting sqref="J44">
    <cfRule type="cellIs" dxfId="439" priority="483" operator="greaterThan">
      <formula>0</formula>
    </cfRule>
  </conditionalFormatting>
  <conditionalFormatting sqref="J46">
    <cfRule type="cellIs" dxfId="438" priority="481" operator="greaterThan">
      <formula>0</formula>
    </cfRule>
    <cfRule type="cellIs" dxfId="437" priority="482" operator="greaterThan">
      <formula>0</formula>
    </cfRule>
  </conditionalFormatting>
  <conditionalFormatting sqref="J46">
    <cfRule type="cellIs" dxfId="436" priority="480" operator="greaterThan">
      <formula>0</formula>
    </cfRule>
  </conditionalFormatting>
  <conditionalFormatting sqref="J48">
    <cfRule type="cellIs" dxfId="435" priority="478" operator="greaterThan">
      <formula>0</formula>
    </cfRule>
    <cfRule type="cellIs" dxfId="434" priority="479" operator="greaterThan">
      <formula>0</formula>
    </cfRule>
  </conditionalFormatting>
  <conditionalFormatting sqref="J48">
    <cfRule type="cellIs" dxfId="433" priority="477" operator="greaterThan">
      <formula>0</formula>
    </cfRule>
  </conditionalFormatting>
  <conditionalFormatting sqref="D14">
    <cfRule type="cellIs" dxfId="432" priority="474" operator="greaterThan">
      <formula>0</formula>
    </cfRule>
    <cfRule type="cellIs" dxfId="431" priority="475" operator="greaterThan">
      <formula>0</formula>
    </cfRule>
    <cfRule type="cellIs" dxfId="430" priority="476" operator="greaterThan">
      <formula>" € - "</formula>
    </cfRule>
  </conditionalFormatting>
  <conditionalFormatting sqref="D14">
    <cfRule type="cellIs" dxfId="429" priority="472" operator="greaterThan">
      <formula>0</formula>
    </cfRule>
    <cfRule type="cellIs" dxfId="428" priority="473" operator="greaterThan">
      <formula>" € - "</formula>
    </cfRule>
  </conditionalFormatting>
  <conditionalFormatting sqref="D14">
    <cfRule type="cellIs" dxfId="427" priority="467" operator="greaterThan">
      <formula>0</formula>
    </cfRule>
    <cfRule type="cellIs" dxfId="426" priority="468" operator="greaterThan">
      <formula>0</formula>
    </cfRule>
    <cfRule type="cellIs" dxfId="425" priority="469" operator="greaterThan">
      <formula>0</formula>
    </cfRule>
    <cfRule type="cellIs" dxfId="424" priority="470" operator="greaterThan">
      <formula>0</formula>
    </cfRule>
    <cfRule type="cellIs" dxfId="423" priority="471" operator="greaterThan">
      <formula>0</formula>
    </cfRule>
  </conditionalFormatting>
  <conditionalFormatting sqref="D14">
    <cfRule type="cellIs" dxfId="422" priority="466" operator="greaterThan">
      <formula>0</formula>
    </cfRule>
  </conditionalFormatting>
  <conditionalFormatting sqref="D16">
    <cfRule type="cellIs" dxfId="421" priority="463" operator="greaterThan">
      <formula>0</formula>
    </cfRule>
    <cfRule type="cellIs" dxfId="420" priority="464" operator="greaterThan">
      <formula>0</formula>
    </cfRule>
    <cfRule type="cellIs" dxfId="419" priority="465" operator="greaterThan">
      <formula>" € - "</formula>
    </cfRule>
  </conditionalFormatting>
  <conditionalFormatting sqref="D16">
    <cfRule type="cellIs" dxfId="418" priority="461" operator="greaterThan">
      <formula>0</formula>
    </cfRule>
    <cfRule type="cellIs" dxfId="417" priority="462" operator="greaterThan">
      <formula>" € - "</formula>
    </cfRule>
  </conditionalFormatting>
  <conditionalFormatting sqref="D16">
    <cfRule type="cellIs" dxfId="416" priority="456" operator="greaterThan">
      <formula>0</formula>
    </cfRule>
    <cfRule type="cellIs" dxfId="415" priority="457" operator="greaterThan">
      <formula>0</formula>
    </cfRule>
    <cfRule type="cellIs" dxfId="414" priority="458" operator="greaterThan">
      <formula>0</formula>
    </cfRule>
    <cfRule type="cellIs" dxfId="413" priority="459" operator="greaterThan">
      <formula>0</formula>
    </cfRule>
    <cfRule type="cellIs" dxfId="412" priority="460" operator="greaterThan">
      <formula>0</formula>
    </cfRule>
  </conditionalFormatting>
  <conditionalFormatting sqref="D16">
    <cfRule type="cellIs" dxfId="411" priority="455" operator="greaterThan">
      <formula>0</formula>
    </cfRule>
  </conditionalFormatting>
  <conditionalFormatting sqref="D18">
    <cfRule type="cellIs" dxfId="410" priority="452" operator="greaterThan">
      <formula>0</formula>
    </cfRule>
    <cfRule type="cellIs" dxfId="409" priority="453" operator="greaterThan">
      <formula>0</formula>
    </cfRule>
    <cfRule type="cellIs" dxfId="408" priority="454" operator="greaterThan">
      <formula>" € - "</formula>
    </cfRule>
  </conditionalFormatting>
  <conditionalFormatting sqref="D18">
    <cfRule type="cellIs" dxfId="407" priority="450" operator="greaterThan">
      <formula>0</formula>
    </cfRule>
    <cfRule type="cellIs" dxfId="406" priority="451" operator="greaterThan">
      <formula>" € - "</formula>
    </cfRule>
  </conditionalFormatting>
  <conditionalFormatting sqref="D18">
    <cfRule type="cellIs" dxfId="405" priority="445" operator="greaterThan">
      <formula>0</formula>
    </cfRule>
    <cfRule type="cellIs" dxfId="404" priority="446" operator="greaterThan">
      <formula>0</formula>
    </cfRule>
    <cfRule type="cellIs" dxfId="403" priority="447" operator="greaterThan">
      <formula>0</formula>
    </cfRule>
    <cfRule type="cellIs" dxfId="402" priority="448" operator="greaterThan">
      <formula>0</formula>
    </cfRule>
    <cfRule type="cellIs" dxfId="401" priority="449" operator="greaterThan">
      <formula>0</formula>
    </cfRule>
  </conditionalFormatting>
  <conditionalFormatting sqref="D18">
    <cfRule type="cellIs" dxfId="400" priority="444" operator="greaterThan">
      <formula>0</formula>
    </cfRule>
  </conditionalFormatting>
  <conditionalFormatting sqref="D20">
    <cfRule type="cellIs" dxfId="399" priority="441" operator="greaterThan">
      <formula>0</formula>
    </cfRule>
    <cfRule type="cellIs" dxfId="398" priority="442" operator="greaterThan">
      <formula>0</formula>
    </cfRule>
    <cfRule type="cellIs" dxfId="397" priority="443" operator="greaterThan">
      <formula>" € - "</formula>
    </cfRule>
  </conditionalFormatting>
  <conditionalFormatting sqref="D20">
    <cfRule type="cellIs" dxfId="396" priority="439" operator="greaterThan">
      <formula>0</formula>
    </cfRule>
    <cfRule type="cellIs" dxfId="395" priority="440" operator="greaterThan">
      <formula>" € - "</formula>
    </cfRule>
  </conditionalFormatting>
  <conditionalFormatting sqref="D20">
    <cfRule type="cellIs" dxfId="394" priority="434" operator="greaterThan">
      <formula>0</formula>
    </cfRule>
    <cfRule type="cellIs" dxfId="393" priority="435" operator="greaterThan">
      <formula>0</formula>
    </cfRule>
    <cfRule type="cellIs" dxfId="392" priority="436" operator="greaterThan">
      <formula>0</formula>
    </cfRule>
    <cfRule type="cellIs" dxfId="391" priority="437" operator="greaterThan">
      <formula>0</formula>
    </cfRule>
    <cfRule type="cellIs" dxfId="390" priority="438" operator="greaterThan">
      <formula>0</formula>
    </cfRule>
  </conditionalFormatting>
  <conditionalFormatting sqref="D20">
    <cfRule type="cellIs" dxfId="389" priority="433" operator="greaterThan">
      <formula>0</formula>
    </cfRule>
  </conditionalFormatting>
  <conditionalFormatting sqref="D22">
    <cfRule type="cellIs" dxfId="388" priority="430" operator="greaterThan">
      <formula>0</formula>
    </cfRule>
    <cfRule type="cellIs" dxfId="387" priority="431" operator="greaterThan">
      <formula>0</formula>
    </cfRule>
    <cfRule type="cellIs" dxfId="386" priority="432" operator="greaterThan">
      <formula>" € - "</formula>
    </cfRule>
  </conditionalFormatting>
  <conditionalFormatting sqref="D22">
    <cfRule type="cellIs" dxfId="385" priority="428" operator="greaterThan">
      <formula>0</formula>
    </cfRule>
    <cfRule type="cellIs" dxfId="384" priority="429" operator="greaterThan">
      <formula>" € - "</formula>
    </cfRule>
  </conditionalFormatting>
  <conditionalFormatting sqref="D22">
    <cfRule type="cellIs" dxfId="383" priority="423" operator="greaterThan">
      <formula>0</formula>
    </cfRule>
    <cfRule type="cellIs" dxfId="382" priority="424" operator="greaterThan">
      <formula>0</formula>
    </cfRule>
    <cfRule type="cellIs" dxfId="381" priority="425" operator="greaterThan">
      <formula>0</formula>
    </cfRule>
    <cfRule type="cellIs" dxfId="380" priority="426" operator="greaterThan">
      <formula>0</formula>
    </cfRule>
    <cfRule type="cellIs" dxfId="379" priority="427" operator="greaterThan">
      <formula>0</formula>
    </cfRule>
  </conditionalFormatting>
  <conditionalFormatting sqref="D22">
    <cfRule type="cellIs" dxfId="378" priority="422" operator="greaterThan">
      <formula>0</formula>
    </cfRule>
  </conditionalFormatting>
  <conditionalFormatting sqref="D24">
    <cfRule type="cellIs" dxfId="377" priority="419" operator="greaterThan">
      <formula>0</formula>
    </cfRule>
    <cfRule type="cellIs" dxfId="376" priority="420" operator="greaterThan">
      <formula>0</formula>
    </cfRule>
    <cfRule type="cellIs" dxfId="375" priority="421" operator="greaterThan">
      <formula>" € - "</formula>
    </cfRule>
  </conditionalFormatting>
  <conditionalFormatting sqref="D24">
    <cfRule type="cellIs" dxfId="374" priority="417" operator="greaterThan">
      <formula>0</formula>
    </cfRule>
    <cfRule type="cellIs" dxfId="373" priority="418" operator="greaterThan">
      <formula>" € - "</formula>
    </cfRule>
  </conditionalFormatting>
  <conditionalFormatting sqref="D24">
    <cfRule type="cellIs" dxfId="372" priority="412" operator="greaterThan">
      <formula>0</formula>
    </cfRule>
    <cfRule type="cellIs" dxfId="371" priority="413" operator="greaterThan">
      <formula>0</formula>
    </cfRule>
    <cfRule type="cellIs" dxfId="370" priority="414" operator="greaterThan">
      <formula>0</formula>
    </cfRule>
    <cfRule type="cellIs" dxfId="369" priority="415" operator="greaterThan">
      <formula>0</formula>
    </cfRule>
    <cfRule type="cellIs" dxfId="368" priority="416" operator="greaterThan">
      <formula>0</formula>
    </cfRule>
  </conditionalFormatting>
  <conditionalFormatting sqref="D24">
    <cfRule type="cellIs" dxfId="367" priority="411" operator="greaterThan">
      <formula>0</formula>
    </cfRule>
  </conditionalFormatting>
  <conditionalFormatting sqref="L29">
    <cfRule type="cellIs" dxfId="366" priority="410" operator="greaterThan">
      <formula>0</formula>
    </cfRule>
  </conditionalFormatting>
  <conditionalFormatting sqref="I32 I34 I36 I38 I40 I42 I44 I46 I48">
    <cfRule type="cellIs" dxfId="365" priority="409" operator="greaterThan">
      <formula>0</formula>
    </cfRule>
  </conditionalFormatting>
  <conditionalFormatting sqref="I30">
    <cfRule type="cellIs" dxfId="364" priority="407" operator="greaterThan">
      <formula>0</formula>
    </cfRule>
    <cfRule type="cellIs" dxfId="363" priority="408" operator="greaterThan">
      <formula>0</formula>
    </cfRule>
  </conditionalFormatting>
  <conditionalFormatting sqref="I30">
    <cfRule type="cellIs" dxfId="362" priority="406" operator="greaterThan">
      <formula>0</formula>
    </cfRule>
  </conditionalFormatting>
  <conditionalFormatting sqref="I30">
    <cfRule type="cellIs" dxfId="361" priority="405" operator="greaterThan">
      <formula>0</formula>
    </cfRule>
  </conditionalFormatting>
  <conditionalFormatting sqref="I32">
    <cfRule type="cellIs" dxfId="360" priority="403" operator="greaterThan">
      <formula>0</formula>
    </cfRule>
    <cfRule type="cellIs" dxfId="359" priority="404" operator="greaterThan">
      <formula>0</formula>
    </cfRule>
  </conditionalFormatting>
  <conditionalFormatting sqref="I32">
    <cfRule type="cellIs" dxfId="358" priority="402" operator="greaterThan">
      <formula>0</formula>
    </cfRule>
  </conditionalFormatting>
  <conditionalFormatting sqref="I32">
    <cfRule type="cellIs" dxfId="357" priority="400" operator="greaterThan">
      <formula>0</formula>
    </cfRule>
    <cfRule type="cellIs" dxfId="356" priority="401" operator="greaterThan">
      <formula>0</formula>
    </cfRule>
  </conditionalFormatting>
  <conditionalFormatting sqref="I32">
    <cfRule type="cellIs" dxfId="355" priority="399" operator="greaterThan">
      <formula>0</formula>
    </cfRule>
  </conditionalFormatting>
  <conditionalFormatting sqref="I32">
    <cfRule type="cellIs" dxfId="354" priority="398" operator="greaterThan">
      <formula>0</formula>
    </cfRule>
  </conditionalFormatting>
  <conditionalFormatting sqref="L29">
    <cfRule type="cellIs" dxfId="353" priority="385" operator="greaterThan">
      <formula>0</formula>
    </cfRule>
    <cfRule type="cellIs" dxfId="352" priority="386" operator="greaterThan">
      <formula>0</formula>
    </cfRule>
  </conditionalFormatting>
  <conditionalFormatting sqref="L29">
    <cfRule type="cellIs" dxfId="351" priority="384" operator="greaterThan">
      <formula>0</formula>
    </cfRule>
  </conditionalFormatting>
  <conditionalFormatting sqref="L29">
    <cfRule type="cellIs" dxfId="350" priority="383" operator="greaterThan">
      <formula>0</formula>
    </cfRule>
  </conditionalFormatting>
  <conditionalFormatting sqref="L29">
    <cfRule type="cellIs" dxfId="349" priority="381" operator="greaterThan">
      <formula>0</formula>
    </cfRule>
    <cfRule type="cellIs" dxfId="348" priority="382" operator="greaterThan">
      <formula>0</formula>
    </cfRule>
  </conditionalFormatting>
  <conditionalFormatting sqref="L29">
    <cfRule type="cellIs" dxfId="347" priority="380" operator="greaterThan">
      <formula>0</formula>
    </cfRule>
  </conditionalFormatting>
  <conditionalFormatting sqref="L29">
    <cfRule type="cellIs" dxfId="346" priority="378" operator="greaterThan">
      <formula>0</formula>
    </cfRule>
    <cfRule type="cellIs" dxfId="345" priority="379" operator="greaterThan">
      <formula>0</formula>
    </cfRule>
  </conditionalFormatting>
  <conditionalFormatting sqref="L29">
    <cfRule type="cellIs" dxfId="344" priority="377" operator="greaterThan">
      <formula>0</formula>
    </cfRule>
  </conditionalFormatting>
  <conditionalFormatting sqref="L29">
    <cfRule type="cellIs" dxfId="343" priority="376" operator="greaterThan">
      <formula>0</formula>
    </cfRule>
  </conditionalFormatting>
  <conditionalFormatting sqref="I34">
    <cfRule type="cellIs" dxfId="342" priority="364" operator="greaterThan">
      <formula>0</formula>
    </cfRule>
  </conditionalFormatting>
  <conditionalFormatting sqref="I34">
    <cfRule type="cellIs" dxfId="341" priority="362" operator="greaterThan">
      <formula>0</formula>
    </cfRule>
    <cfRule type="cellIs" dxfId="340" priority="363" operator="greaterThan">
      <formula>0</formula>
    </cfRule>
  </conditionalFormatting>
  <conditionalFormatting sqref="I34">
    <cfRule type="cellIs" dxfId="339" priority="361" operator="greaterThan">
      <formula>0</formula>
    </cfRule>
  </conditionalFormatting>
  <conditionalFormatting sqref="I34">
    <cfRule type="cellIs" dxfId="338" priority="360" operator="greaterThan">
      <formula>0</formula>
    </cfRule>
  </conditionalFormatting>
  <conditionalFormatting sqref="I34">
    <cfRule type="cellIs" dxfId="337" priority="358" operator="greaterThan">
      <formula>0</formula>
    </cfRule>
    <cfRule type="cellIs" dxfId="336" priority="359" operator="greaterThan">
      <formula>0</formula>
    </cfRule>
  </conditionalFormatting>
  <conditionalFormatting sqref="I34">
    <cfRule type="cellIs" dxfId="335" priority="357" operator="greaterThan">
      <formula>0</formula>
    </cfRule>
  </conditionalFormatting>
  <conditionalFormatting sqref="I34">
    <cfRule type="cellIs" dxfId="334" priority="355" operator="greaterThan">
      <formula>0</formula>
    </cfRule>
    <cfRule type="cellIs" dxfId="333" priority="356" operator="greaterThan">
      <formula>0</formula>
    </cfRule>
  </conditionalFormatting>
  <conditionalFormatting sqref="I34">
    <cfRule type="cellIs" dxfId="332" priority="354" operator="greaterThan">
      <formula>0</formula>
    </cfRule>
  </conditionalFormatting>
  <conditionalFormatting sqref="I34">
    <cfRule type="cellIs" dxfId="331" priority="353" operator="greaterThan">
      <formula>0</formula>
    </cfRule>
  </conditionalFormatting>
  <conditionalFormatting sqref="I36">
    <cfRule type="cellIs" dxfId="330" priority="351" operator="greaterThan">
      <formula>0</formula>
    </cfRule>
    <cfRule type="cellIs" dxfId="329" priority="352" operator="greaterThan">
      <formula>0</formula>
    </cfRule>
  </conditionalFormatting>
  <conditionalFormatting sqref="I36">
    <cfRule type="cellIs" dxfId="328" priority="350" operator="greaterThan">
      <formula>0</formula>
    </cfRule>
  </conditionalFormatting>
  <conditionalFormatting sqref="I36">
    <cfRule type="cellIs" dxfId="327" priority="349" operator="greaterThan">
      <formula>0</formula>
    </cfRule>
  </conditionalFormatting>
  <conditionalFormatting sqref="I36">
    <cfRule type="cellIs" dxfId="326" priority="347" operator="greaterThan">
      <formula>0</formula>
    </cfRule>
    <cfRule type="cellIs" dxfId="325" priority="348" operator="greaterThan">
      <formula>0</formula>
    </cfRule>
  </conditionalFormatting>
  <conditionalFormatting sqref="I36">
    <cfRule type="cellIs" dxfId="324" priority="346" operator="greaterThan">
      <formula>0</formula>
    </cfRule>
  </conditionalFormatting>
  <conditionalFormatting sqref="I36">
    <cfRule type="cellIs" dxfId="323" priority="345" operator="greaterThan">
      <formula>0</formula>
    </cfRule>
  </conditionalFormatting>
  <conditionalFormatting sqref="I36">
    <cfRule type="cellIs" dxfId="322" priority="343" operator="greaterThan">
      <formula>0</formula>
    </cfRule>
    <cfRule type="cellIs" dxfId="321" priority="344" operator="greaterThan">
      <formula>0</formula>
    </cfRule>
  </conditionalFormatting>
  <conditionalFormatting sqref="I36">
    <cfRule type="cellIs" dxfId="320" priority="342" operator="greaterThan">
      <formula>0</formula>
    </cfRule>
  </conditionalFormatting>
  <conditionalFormatting sqref="I36">
    <cfRule type="cellIs" dxfId="319" priority="340" operator="greaterThan">
      <formula>0</formula>
    </cfRule>
    <cfRule type="cellIs" dxfId="318" priority="341" operator="greaterThan">
      <formula>0</formula>
    </cfRule>
  </conditionalFormatting>
  <conditionalFormatting sqref="I36">
    <cfRule type="cellIs" dxfId="317" priority="339" operator="greaterThan">
      <formula>0</formula>
    </cfRule>
  </conditionalFormatting>
  <conditionalFormatting sqref="I36">
    <cfRule type="cellIs" dxfId="316" priority="338" operator="greaterThan">
      <formula>0</formula>
    </cfRule>
  </conditionalFormatting>
  <conditionalFormatting sqref="I38">
    <cfRule type="cellIs" dxfId="315" priority="336" operator="greaterThan">
      <formula>0</formula>
    </cfRule>
    <cfRule type="cellIs" dxfId="314" priority="337" operator="greaterThan">
      <formula>0</formula>
    </cfRule>
  </conditionalFormatting>
  <conditionalFormatting sqref="I38">
    <cfRule type="cellIs" dxfId="313" priority="335" operator="greaterThan">
      <formula>0</formula>
    </cfRule>
  </conditionalFormatting>
  <conditionalFormatting sqref="I38">
    <cfRule type="cellIs" dxfId="312" priority="333" operator="greaterThan">
      <formula>0</formula>
    </cfRule>
    <cfRule type="cellIs" dxfId="311" priority="334" operator="greaterThan">
      <formula>0</formula>
    </cfRule>
  </conditionalFormatting>
  <conditionalFormatting sqref="I38">
    <cfRule type="cellIs" dxfId="310" priority="332" operator="greaterThan">
      <formula>0</formula>
    </cfRule>
  </conditionalFormatting>
  <conditionalFormatting sqref="I38">
    <cfRule type="cellIs" dxfId="309" priority="331" operator="greaterThan">
      <formula>0</formula>
    </cfRule>
  </conditionalFormatting>
  <conditionalFormatting sqref="I38">
    <cfRule type="cellIs" dxfId="308" priority="329" operator="greaterThan">
      <formula>0</formula>
    </cfRule>
    <cfRule type="cellIs" dxfId="307" priority="330" operator="greaterThan">
      <formula>0</formula>
    </cfRule>
  </conditionalFormatting>
  <conditionalFormatting sqref="I38">
    <cfRule type="cellIs" dxfId="306" priority="328" operator="greaterThan">
      <formula>0</formula>
    </cfRule>
  </conditionalFormatting>
  <conditionalFormatting sqref="I38">
    <cfRule type="cellIs" dxfId="305" priority="327" operator="greaterThan">
      <formula>0</formula>
    </cfRule>
  </conditionalFormatting>
  <conditionalFormatting sqref="I38">
    <cfRule type="cellIs" dxfId="304" priority="325" operator="greaterThan">
      <formula>0</formula>
    </cfRule>
    <cfRule type="cellIs" dxfId="303" priority="326" operator="greaterThan">
      <formula>0</formula>
    </cfRule>
  </conditionalFormatting>
  <conditionalFormatting sqref="I38">
    <cfRule type="cellIs" dxfId="302" priority="324" operator="greaterThan">
      <formula>0</formula>
    </cfRule>
  </conditionalFormatting>
  <conditionalFormatting sqref="I38">
    <cfRule type="cellIs" dxfId="301" priority="322" operator="greaterThan">
      <formula>0</formula>
    </cfRule>
    <cfRule type="cellIs" dxfId="300" priority="323" operator="greaterThan">
      <formula>0</formula>
    </cfRule>
  </conditionalFormatting>
  <conditionalFormatting sqref="I38">
    <cfRule type="cellIs" dxfId="299" priority="321" operator="greaterThan">
      <formula>0</formula>
    </cfRule>
  </conditionalFormatting>
  <conditionalFormatting sqref="I38">
    <cfRule type="cellIs" dxfId="298" priority="320" operator="greaterThan">
      <formula>0</formula>
    </cfRule>
  </conditionalFormatting>
  <conditionalFormatting sqref="I40">
    <cfRule type="cellIs" dxfId="297" priority="318" operator="greaterThan">
      <formula>0</formula>
    </cfRule>
    <cfRule type="cellIs" dxfId="296" priority="319" operator="greaterThan">
      <formula>0</formula>
    </cfRule>
  </conditionalFormatting>
  <conditionalFormatting sqref="I40">
    <cfRule type="cellIs" dxfId="295" priority="317" operator="greaterThan">
      <formula>0</formula>
    </cfRule>
  </conditionalFormatting>
  <conditionalFormatting sqref="I40">
    <cfRule type="cellIs" dxfId="294" priority="315" operator="greaterThan">
      <formula>0</formula>
    </cfRule>
    <cfRule type="cellIs" dxfId="293" priority="316" operator="greaterThan">
      <formula>0</formula>
    </cfRule>
  </conditionalFormatting>
  <conditionalFormatting sqref="I40">
    <cfRule type="cellIs" dxfId="292" priority="314" operator="greaterThan">
      <formula>0</formula>
    </cfRule>
  </conditionalFormatting>
  <conditionalFormatting sqref="I40">
    <cfRule type="cellIs" dxfId="291" priority="312" operator="greaterThan">
      <formula>0</formula>
    </cfRule>
    <cfRule type="cellIs" dxfId="290" priority="313" operator="greaterThan">
      <formula>0</formula>
    </cfRule>
  </conditionalFormatting>
  <conditionalFormatting sqref="I40">
    <cfRule type="cellIs" dxfId="289" priority="311" operator="greaterThan">
      <formula>0</formula>
    </cfRule>
  </conditionalFormatting>
  <conditionalFormatting sqref="I40">
    <cfRule type="cellIs" dxfId="288" priority="310" operator="greaterThan">
      <formula>0</formula>
    </cfRule>
  </conditionalFormatting>
  <conditionalFormatting sqref="I40">
    <cfRule type="cellIs" dxfId="287" priority="308" operator="greaterThan">
      <formula>0</formula>
    </cfRule>
    <cfRule type="cellIs" dxfId="286" priority="309" operator="greaterThan">
      <formula>0</formula>
    </cfRule>
  </conditionalFormatting>
  <conditionalFormatting sqref="I40">
    <cfRule type="cellIs" dxfId="285" priority="307" operator="greaterThan">
      <formula>0</formula>
    </cfRule>
  </conditionalFormatting>
  <conditionalFormatting sqref="I40">
    <cfRule type="cellIs" dxfId="284" priority="306" operator="greaterThan">
      <formula>0</formula>
    </cfRule>
  </conditionalFormatting>
  <conditionalFormatting sqref="I40">
    <cfRule type="cellIs" dxfId="283" priority="304" operator="greaterThan">
      <formula>0</formula>
    </cfRule>
    <cfRule type="cellIs" dxfId="282" priority="305" operator="greaterThan">
      <formula>0</formula>
    </cfRule>
  </conditionalFormatting>
  <conditionalFormatting sqref="I40">
    <cfRule type="cellIs" dxfId="281" priority="303" operator="greaterThan">
      <formula>0</formula>
    </cfRule>
  </conditionalFormatting>
  <conditionalFormatting sqref="I40">
    <cfRule type="cellIs" dxfId="280" priority="301" operator="greaterThan">
      <formula>0</formula>
    </cfRule>
    <cfRule type="cellIs" dxfId="279" priority="302" operator="greaterThan">
      <formula>0</formula>
    </cfRule>
  </conditionalFormatting>
  <conditionalFormatting sqref="I40">
    <cfRule type="cellIs" dxfId="278" priority="300" operator="greaterThan">
      <formula>0</formula>
    </cfRule>
  </conditionalFormatting>
  <conditionalFormatting sqref="I40">
    <cfRule type="cellIs" dxfId="277" priority="299" operator="greaterThan">
      <formula>0</formula>
    </cfRule>
  </conditionalFormatting>
  <conditionalFormatting sqref="I42">
    <cfRule type="cellIs" dxfId="276" priority="297" operator="greaterThan">
      <formula>0</formula>
    </cfRule>
    <cfRule type="cellIs" dxfId="275" priority="298" operator="greaterThan">
      <formula>0</formula>
    </cfRule>
  </conditionalFormatting>
  <conditionalFormatting sqref="I42">
    <cfRule type="cellIs" dxfId="274" priority="296" operator="greaterThan">
      <formula>0</formula>
    </cfRule>
  </conditionalFormatting>
  <conditionalFormatting sqref="I42">
    <cfRule type="cellIs" dxfId="273" priority="294" operator="greaterThan">
      <formula>0</formula>
    </cfRule>
    <cfRule type="cellIs" dxfId="272" priority="295" operator="greaterThan">
      <formula>0</formula>
    </cfRule>
  </conditionalFormatting>
  <conditionalFormatting sqref="I42">
    <cfRule type="cellIs" dxfId="271" priority="293" operator="greaterThan">
      <formula>0</formula>
    </cfRule>
  </conditionalFormatting>
  <conditionalFormatting sqref="I42">
    <cfRule type="cellIs" dxfId="270" priority="291" operator="greaterThan">
      <formula>0</formula>
    </cfRule>
    <cfRule type="cellIs" dxfId="269" priority="292" operator="greaterThan">
      <formula>0</formula>
    </cfRule>
  </conditionalFormatting>
  <conditionalFormatting sqref="I42">
    <cfRule type="cellIs" dxfId="268" priority="290" operator="greaterThan">
      <formula>0</formula>
    </cfRule>
  </conditionalFormatting>
  <conditionalFormatting sqref="I42">
    <cfRule type="cellIs" dxfId="267" priority="288" operator="greaterThan">
      <formula>0</formula>
    </cfRule>
    <cfRule type="cellIs" dxfId="266" priority="289" operator="greaterThan">
      <formula>0</formula>
    </cfRule>
  </conditionalFormatting>
  <conditionalFormatting sqref="I42">
    <cfRule type="cellIs" dxfId="265" priority="287" operator="greaterThan">
      <formula>0</formula>
    </cfRule>
  </conditionalFormatting>
  <conditionalFormatting sqref="I42">
    <cfRule type="cellIs" dxfId="264" priority="286" operator="greaterThan">
      <formula>0</formula>
    </cfRule>
  </conditionalFormatting>
  <conditionalFormatting sqref="I42">
    <cfRule type="cellIs" dxfId="263" priority="284" operator="greaterThan">
      <formula>0</formula>
    </cfRule>
    <cfRule type="cellIs" dxfId="262" priority="285" operator="greaterThan">
      <formula>0</formula>
    </cfRule>
  </conditionalFormatting>
  <conditionalFormatting sqref="I42">
    <cfRule type="cellIs" dxfId="261" priority="283" operator="greaterThan">
      <formula>0</formula>
    </cfRule>
  </conditionalFormatting>
  <conditionalFormatting sqref="I42">
    <cfRule type="cellIs" dxfId="260" priority="282" operator="greaterThan">
      <formula>0</formula>
    </cfRule>
  </conditionalFormatting>
  <conditionalFormatting sqref="I42">
    <cfRule type="cellIs" dxfId="259" priority="280" operator="greaterThan">
      <formula>0</formula>
    </cfRule>
    <cfRule type="cellIs" dxfId="258" priority="281" operator="greaterThan">
      <formula>0</formula>
    </cfRule>
  </conditionalFormatting>
  <conditionalFormatting sqref="I42">
    <cfRule type="cellIs" dxfId="257" priority="279" operator="greaterThan">
      <formula>0</formula>
    </cfRule>
  </conditionalFormatting>
  <conditionalFormatting sqref="I42">
    <cfRule type="cellIs" dxfId="256" priority="277" operator="greaterThan">
      <formula>0</formula>
    </cfRule>
    <cfRule type="cellIs" dxfId="255" priority="278" operator="greaterThan">
      <formula>0</formula>
    </cfRule>
  </conditionalFormatting>
  <conditionalFormatting sqref="I42">
    <cfRule type="cellIs" dxfId="254" priority="276" operator="greaterThan">
      <formula>0</formula>
    </cfRule>
  </conditionalFormatting>
  <conditionalFormatting sqref="I42">
    <cfRule type="cellIs" dxfId="253" priority="275" operator="greaterThan">
      <formula>0</formula>
    </cfRule>
  </conditionalFormatting>
  <conditionalFormatting sqref="I44">
    <cfRule type="cellIs" dxfId="252" priority="273" operator="greaterThan">
      <formula>0</formula>
    </cfRule>
    <cfRule type="cellIs" dxfId="251" priority="274" operator="greaterThan">
      <formula>0</formula>
    </cfRule>
  </conditionalFormatting>
  <conditionalFormatting sqref="I44">
    <cfRule type="cellIs" dxfId="250" priority="272" operator="greaterThan">
      <formula>0</formula>
    </cfRule>
  </conditionalFormatting>
  <conditionalFormatting sqref="I44">
    <cfRule type="cellIs" dxfId="249" priority="270" operator="greaterThan">
      <formula>0</formula>
    </cfRule>
    <cfRule type="cellIs" dxfId="248" priority="271" operator="greaterThan">
      <formula>0</formula>
    </cfRule>
  </conditionalFormatting>
  <conditionalFormatting sqref="I44">
    <cfRule type="cellIs" dxfId="247" priority="269" operator="greaterThan">
      <formula>0</formula>
    </cfRule>
  </conditionalFormatting>
  <conditionalFormatting sqref="I44">
    <cfRule type="cellIs" dxfId="246" priority="267" operator="greaterThan">
      <formula>0</formula>
    </cfRule>
    <cfRule type="cellIs" dxfId="245" priority="268" operator="greaterThan">
      <formula>0</formula>
    </cfRule>
  </conditionalFormatting>
  <conditionalFormatting sqref="I44">
    <cfRule type="cellIs" dxfId="244" priority="266" operator="greaterThan">
      <formula>0</formula>
    </cfRule>
  </conditionalFormatting>
  <conditionalFormatting sqref="I44">
    <cfRule type="cellIs" dxfId="243" priority="264" operator="greaterThan">
      <formula>0</formula>
    </cfRule>
    <cfRule type="cellIs" dxfId="242" priority="265" operator="greaterThan">
      <formula>0</formula>
    </cfRule>
  </conditionalFormatting>
  <conditionalFormatting sqref="I44">
    <cfRule type="cellIs" dxfId="241" priority="263" operator="greaterThan">
      <formula>0</formula>
    </cfRule>
  </conditionalFormatting>
  <conditionalFormatting sqref="I44">
    <cfRule type="cellIs" dxfId="240" priority="261" operator="greaterThan">
      <formula>0</formula>
    </cfRule>
    <cfRule type="cellIs" dxfId="239" priority="262" operator="greaterThan">
      <formula>0</formula>
    </cfRule>
  </conditionalFormatting>
  <conditionalFormatting sqref="I44">
    <cfRule type="cellIs" dxfId="238" priority="260" operator="greaterThan">
      <formula>0</formula>
    </cfRule>
  </conditionalFormatting>
  <conditionalFormatting sqref="I44">
    <cfRule type="cellIs" dxfId="237" priority="259" operator="greaterThan">
      <formula>0</formula>
    </cfRule>
  </conditionalFormatting>
  <conditionalFormatting sqref="I44">
    <cfRule type="cellIs" dxfId="236" priority="257" operator="greaterThan">
      <formula>0</formula>
    </cfRule>
    <cfRule type="cellIs" dxfId="235" priority="258" operator="greaterThan">
      <formula>0</formula>
    </cfRule>
  </conditionalFormatting>
  <conditionalFormatting sqref="I44">
    <cfRule type="cellIs" dxfId="234" priority="256" operator="greaterThan">
      <formula>0</formula>
    </cfRule>
  </conditionalFormatting>
  <conditionalFormatting sqref="I44">
    <cfRule type="cellIs" dxfId="233" priority="255" operator="greaterThan">
      <formula>0</formula>
    </cfRule>
  </conditionalFormatting>
  <conditionalFormatting sqref="I44">
    <cfRule type="cellIs" dxfId="232" priority="253" operator="greaterThan">
      <formula>0</formula>
    </cfRule>
    <cfRule type="cellIs" dxfId="231" priority="254" operator="greaterThan">
      <formula>0</formula>
    </cfRule>
  </conditionalFormatting>
  <conditionalFormatting sqref="I44">
    <cfRule type="cellIs" dxfId="230" priority="252" operator="greaterThan">
      <formula>0</formula>
    </cfRule>
  </conditionalFormatting>
  <conditionalFormatting sqref="I44">
    <cfRule type="cellIs" dxfId="229" priority="250" operator="greaterThan">
      <formula>0</formula>
    </cfRule>
    <cfRule type="cellIs" dxfId="228" priority="251" operator="greaterThan">
      <formula>0</formula>
    </cfRule>
  </conditionalFormatting>
  <conditionalFormatting sqref="I44">
    <cfRule type="cellIs" dxfId="227" priority="249" operator="greaterThan">
      <formula>0</formula>
    </cfRule>
  </conditionalFormatting>
  <conditionalFormatting sqref="I44">
    <cfRule type="cellIs" dxfId="226" priority="248" operator="greaterThan">
      <formula>0</formula>
    </cfRule>
  </conditionalFormatting>
  <conditionalFormatting sqref="I46">
    <cfRule type="cellIs" dxfId="225" priority="246" operator="greaterThan">
      <formula>0</formula>
    </cfRule>
    <cfRule type="cellIs" dxfId="224" priority="247" operator="greaterThan">
      <formula>0</formula>
    </cfRule>
  </conditionalFormatting>
  <conditionalFormatting sqref="I46">
    <cfRule type="cellIs" dxfId="223" priority="245" operator="greaterThan">
      <formula>0</formula>
    </cfRule>
  </conditionalFormatting>
  <conditionalFormatting sqref="I46">
    <cfRule type="cellIs" dxfId="222" priority="243" operator="greaterThan">
      <formula>0</formula>
    </cfRule>
    <cfRule type="cellIs" dxfId="221" priority="244" operator="greaterThan">
      <formula>0</formula>
    </cfRule>
  </conditionalFormatting>
  <conditionalFormatting sqref="I46">
    <cfRule type="cellIs" dxfId="220" priority="242" operator="greaterThan">
      <formula>0</formula>
    </cfRule>
  </conditionalFormatting>
  <conditionalFormatting sqref="I46">
    <cfRule type="cellIs" dxfId="219" priority="240" operator="greaterThan">
      <formula>0</formula>
    </cfRule>
    <cfRule type="cellIs" dxfId="218" priority="241" operator="greaterThan">
      <formula>0</formula>
    </cfRule>
  </conditionalFormatting>
  <conditionalFormatting sqref="I46">
    <cfRule type="cellIs" dxfId="217" priority="239" operator="greaterThan">
      <formula>0</formula>
    </cfRule>
  </conditionalFormatting>
  <conditionalFormatting sqref="I46">
    <cfRule type="cellIs" dxfId="216" priority="237" operator="greaterThan">
      <formula>0</formula>
    </cfRule>
    <cfRule type="cellIs" dxfId="215" priority="238" operator="greaterThan">
      <formula>0</formula>
    </cfRule>
  </conditionalFormatting>
  <conditionalFormatting sqref="I46">
    <cfRule type="cellIs" dxfId="214" priority="236" operator="greaterThan">
      <formula>0</formula>
    </cfRule>
  </conditionalFormatting>
  <conditionalFormatting sqref="I46">
    <cfRule type="cellIs" dxfId="213" priority="234" operator="greaterThan">
      <formula>0</formula>
    </cfRule>
    <cfRule type="cellIs" dxfId="212" priority="235" operator="greaterThan">
      <formula>0</formula>
    </cfRule>
  </conditionalFormatting>
  <conditionalFormatting sqref="I46">
    <cfRule type="cellIs" dxfId="211" priority="233" operator="greaterThan">
      <formula>0</formula>
    </cfRule>
  </conditionalFormatting>
  <conditionalFormatting sqref="I46">
    <cfRule type="cellIs" dxfId="210" priority="231" operator="greaterThan">
      <formula>0</formula>
    </cfRule>
    <cfRule type="cellIs" dxfId="209" priority="232" operator="greaterThan">
      <formula>0</formula>
    </cfRule>
  </conditionalFormatting>
  <conditionalFormatting sqref="I46">
    <cfRule type="cellIs" dxfId="208" priority="230" operator="greaterThan">
      <formula>0</formula>
    </cfRule>
  </conditionalFormatting>
  <conditionalFormatting sqref="I46">
    <cfRule type="cellIs" dxfId="207" priority="229" operator="greaterThan">
      <formula>0</formula>
    </cfRule>
  </conditionalFormatting>
  <conditionalFormatting sqref="I46">
    <cfRule type="cellIs" dxfId="206" priority="227" operator="greaterThan">
      <formula>0</formula>
    </cfRule>
    <cfRule type="cellIs" dxfId="205" priority="228" operator="greaterThan">
      <formula>0</formula>
    </cfRule>
  </conditionalFormatting>
  <conditionalFormatting sqref="I46">
    <cfRule type="cellIs" dxfId="204" priority="226" operator="greaterThan">
      <formula>0</formula>
    </cfRule>
  </conditionalFormatting>
  <conditionalFormatting sqref="I46">
    <cfRule type="cellIs" dxfId="203" priority="225" operator="greaterThan">
      <formula>0</formula>
    </cfRule>
  </conditionalFormatting>
  <conditionalFormatting sqref="I46">
    <cfRule type="cellIs" dxfId="202" priority="223" operator="greaterThan">
      <formula>0</formula>
    </cfRule>
    <cfRule type="cellIs" dxfId="201" priority="224" operator="greaterThan">
      <formula>0</formula>
    </cfRule>
  </conditionalFormatting>
  <conditionalFormatting sqref="I46">
    <cfRule type="cellIs" dxfId="200" priority="222" operator="greaterThan">
      <formula>0</formula>
    </cfRule>
  </conditionalFormatting>
  <conditionalFormatting sqref="I46">
    <cfRule type="cellIs" dxfId="199" priority="220" operator="greaterThan">
      <formula>0</formula>
    </cfRule>
    <cfRule type="cellIs" dxfId="198" priority="221" operator="greaterThan">
      <formula>0</formula>
    </cfRule>
  </conditionalFormatting>
  <conditionalFormatting sqref="I46">
    <cfRule type="cellIs" dxfId="197" priority="219" operator="greaterThan">
      <formula>0</formula>
    </cfRule>
  </conditionalFormatting>
  <conditionalFormatting sqref="I46">
    <cfRule type="cellIs" dxfId="196" priority="218" operator="greaterThan">
      <formula>0</formula>
    </cfRule>
  </conditionalFormatting>
  <conditionalFormatting sqref="I48">
    <cfRule type="cellIs" dxfId="195" priority="216" operator="greaterThan">
      <formula>0</formula>
    </cfRule>
    <cfRule type="cellIs" dxfId="194" priority="217" operator="greaterThan">
      <formula>0</formula>
    </cfRule>
  </conditionalFormatting>
  <conditionalFormatting sqref="I48">
    <cfRule type="cellIs" dxfId="193" priority="215" operator="greaterThan">
      <formula>0</formula>
    </cfRule>
  </conditionalFormatting>
  <conditionalFormatting sqref="I48">
    <cfRule type="cellIs" dxfId="192" priority="213" operator="greaterThan">
      <formula>0</formula>
    </cfRule>
    <cfRule type="cellIs" dxfId="191" priority="214" operator="greaterThan">
      <formula>0</formula>
    </cfRule>
  </conditionalFormatting>
  <conditionalFormatting sqref="I48">
    <cfRule type="cellIs" dxfId="190" priority="212" operator="greaterThan">
      <formula>0</formula>
    </cfRule>
  </conditionalFormatting>
  <conditionalFormatting sqref="I48">
    <cfRule type="cellIs" dxfId="189" priority="210" operator="greaterThan">
      <formula>0</formula>
    </cfRule>
    <cfRule type="cellIs" dxfId="188" priority="211" operator="greaterThan">
      <formula>0</formula>
    </cfRule>
  </conditionalFormatting>
  <conditionalFormatting sqref="I48">
    <cfRule type="cellIs" dxfId="187" priority="209" operator="greaterThan">
      <formula>0</formula>
    </cfRule>
  </conditionalFormatting>
  <conditionalFormatting sqref="I48">
    <cfRule type="cellIs" dxfId="186" priority="207" operator="greaterThan">
      <formula>0</formula>
    </cfRule>
    <cfRule type="cellIs" dxfId="185" priority="208" operator="greaterThan">
      <formula>0</formula>
    </cfRule>
  </conditionalFormatting>
  <conditionalFormatting sqref="I48">
    <cfRule type="cellIs" dxfId="184" priority="206" operator="greaterThan">
      <formula>0</formula>
    </cfRule>
  </conditionalFormatting>
  <conditionalFormatting sqref="I48">
    <cfRule type="cellIs" dxfId="183" priority="204" operator="greaterThan">
      <formula>0</formula>
    </cfRule>
    <cfRule type="cellIs" dxfId="182" priority="205" operator="greaterThan">
      <formula>0</formula>
    </cfRule>
  </conditionalFormatting>
  <conditionalFormatting sqref="I48">
    <cfRule type="cellIs" dxfId="181" priority="203" operator="greaterThan">
      <formula>0</formula>
    </cfRule>
  </conditionalFormatting>
  <conditionalFormatting sqref="I48">
    <cfRule type="cellIs" dxfId="180" priority="201" operator="greaterThan">
      <formula>0</formula>
    </cfRule>
    <cfRule type="cellIs" dxfId="179" priority="202" operator="greaterThan">
      <formula>0</formula>
    </cfRule>
  </conditionalFormatting>
  <conditionalFormatting sqref="I48">
    <cfRule type="cellIs" dxfId="178" priority="200" operator="greaterThan">
      <formula>0</formula>
    </cfRule>
  </conditionalFormatting>
  <conditionalFormatting sqref="I48">
    <cfRule type="cellIs" dxfId="177" priority="198" operator="greaterThan">
      <formula>0</formula>
    </cfRule>
    <cfRule type="cellIs" dxfId="176" priority="199" operator="greaterThan">
      <formula>0</formula>
    </cfRule>
  </conditionalFormatting>
  <conditionalFormatting sqref="I48">
    <cfRule type="cellIs" dxfId="175" priority="197" operator="greaterThan">
      <formula>0</formula>
    </cfRule>
  </conditionalFormatting>
  <conditionalFormatting sqref="I48">
    <cfRule type="cellIs" dxfId="174" priority="196" operator="greaterThan">
      <formula>0</formula>
    </cfRule>
  </conditionalFormatting>
  <conditionalFormatting sqref="I48">
    <cfRule type="cellIs" dxfId="173" priority="194" operator="greaterThan">
      <formula>0</formula>
    </cfRule>
    <cfRule type="cellIs" dxfId="172" priority="195" operator="greaterThan">
      <formula>0</formula>
    </cfRule>
  </conditionalFormatting>
  <conditionalFormatting sqref="I48">
    <cfRule type="cellIs" dxfId="171" priority="193" operator="greaterThan">
      <formula>0</formula>
    </cfRule>
  </conditionalFormatting>
  <conditionalFormatting sqref="I48">
    <cfRule type="cellIs" dxfId="170" priority="192" operator="greaterThan">
      <formula>0</formula>
    </cfRule>
  </conditionalFormatting>
  <conditionalFormatting sqref="I48">
    <cfRule type="cellIs" dxfId="169" priority="190" operator="greaterThan">
      <formula>0</formula>
    </cfRule>
    <cfRule type="cellIs" dxfId="168" priority="191" operator="greaterThan">
      <formula>0</formula>
    </cfRule>
  </conditionalFormatting>
  <conditionalFormatting sqref="I48">
    <cfRule type="cellIs" dxfId="167" priority="189" operator="greaterThan">
      <formula>0</formula>
    </cfRule>
  </conditionalFormatting>
  <conditionalFormatting sqref="I48">
    <cfRule type="cellIs" dxfId="166" priority="187" operator="greaterThan">
      <formula>0</formula>
    </cfRule>
    <cfRule type="cellIs" dxfId="165" priority="188" operator="greaterThan">
      <formula>0</formula>
    </cfRule>
  </conditionalFormatting>
  <conditionalFormatting sqref="I48">
    <cfRule type="cellIs" dxfId="164" priority="186" operator="greaterThan">
      <formula>0</formula>
    </cfRule>
  </conditionalFormatting>
  <conditionalFormatting sqref="I48">
    <cfRule type="cellIs" dxfId="163" priority="185" operator="greaterThan">
      <formula>0</formula>
    </cfRule>
  </conditionalFormatting>
  <conditionalFormatting sqref="M29">
    <cfRule type="cellIs" dxfId="162" priority="184" operator="greaterThan">
      <formula>0</formula>
    </cfRule>
  </conditionalFormatting>
  <conditionalFormatting sqref="M29">
    <cfRule type="cellIs" dxfId="161" priority="183" operator="greaterThan">
      <formula>0</formula>
    </cfRule>
  </conditionalFormatting>
  <conditionalFormatting sqref="M29">
    <cfRule type="cellIs" dxfId="160" priority="181" operator="greaterThan">
      <formula>0</formula>
    </cfRule>
    <cfRule type="cellIs" dxfId="159" priority="182" operator="greaterThan">
      <formula>0</formula>
    </cfRule>
  </conditionalFormatting>
  <conditionalFormatting sqref="M29">
    <cfRule type="cellIs" dxfId="158" priority="180" operator="greaterThan">
      <formula>0</formula>
    </cfRule>
  </conditionalFormatting>
  <conditionalFormatting sqref="M29">
    <cfRule type="cellIs" dxfId="157" priority="179" operator="greaterThan">
      <formula>0</formula>
    </cfRule>
  </conditionalFormatting>
  <conditionalFormatting sqref="M29">
    <cfRule type="cellIs" dxfId="156" priority="177" operator="greaterThan">
      <formula>0</formula>
    </cfRule>
    <cfRule type="cellIs" dxfId="155" priority="178" operator="greaterThan">
      <formula>0</formula>
    </cfRule>
  </conditionalFormatting>
  <conditionalFormatting sqref="M29">
    <cfRule type="cellIs" dxfId="154" priority="176" operator="greaterThan">
      <formula>0</formula>
    </cfRule>
  </conditionalFormatting>
  <conditionalFormatting sqref="M29">
    <cfRule type="cellIs" dxfId="153" priority="174" operator="greaterThan">
      <formula>0</formula>
    </cfRule>
    <cfRule type="cellIs" dxfId="152" priority="175" operator="greaterThan">
      <formula>0</formula>
    </cfRule>
  </conditionalFormatting>
  <conditionalFormatting sqref="M29">
    <cfRule type="cellIs" dxfId="151" priority="173" operator="greaterThan">
      <formula>0</formula>
    </cfRule>
  </conditionalFormatting>
  <conditionalFormatting sqref="M29">
    <cfRule type="cellIs" dxfId="150" priority="172" operator="greaterThan">
      <formula>0</formula>
    </cfRule>
  </conditionalFormatting>
  <conditionalFormatting sqref="K29">
    <cfRule type="cellIs" dxfId="149" priority="171" operator="greaterThan">
      <formula>0</formula>
    </cfRule>
  </conditionalFormatting>
  <conditionalFormatting sqref="K29">
    <cfRule type="cellIs" dxfId="148" priority="170" operator="greaterThan">
      <formula>0</formula>
    </cfRule>
  </conditionalFormatting>
  <conditionalFormatting sqref="K29">
    <cfRule type="cellIs" dxfId="147" priority="168" operator="greaterThan">
      <formula>0</formula>
    </cfRule>
    <cfRule type="cellIs" dxfId="146" priority="169" operator="greaterThan">
      <formula>0</formula>
    </cfRule>
  </conditionalFormatting>
  <conditionalFormatting sqref="K29">
    <cfRule type="cellIs" dxfId="145" priority="167" operator="greaterThan">
      <formula>0</formula>
    </cfRule>
  </conditionalFormatting>
  <conditionalFormatting sqref="K29">
    <cfRule type="cellIs" dxfId="144" priority="166" operator="greaterThan">
      <formula>0</formula>
    </cfRule>
  </conditionalFormatting>
  <conditionalFormatting sqref="K29">
    <cfRule type="cellIs" dxfId="143" priority="164" operator="greaterThan">
      <formula>0</formula>
    </cfRule>
    <cfRule type="cellIs" dxfId="142" priority="165" operator="greaterThan">
      <formula>0</formula>
    </cfRule>
  </conditionalFormatting>
  <conditionalFormatting sqref="K29">
    <cfRule type="cellIs" dxfId="141" priority="163" operator="greaterThan">
      <formula>0</formula>
    </cfRule>
  </conditionalFormatting>
  <conditionalFormatting sqref="K29">
    <cfRule type="cellIs" dxfId="140" priority="161" operator="greaterThan">
      <formula>0</formula>
    </cfRule>
    <cfRule type="cellIs" dxfId="139" priority="162" operator="greaterThan">
      <formula>0</formula>
    </cfRule>
  </conditionalFormatting>
  <conditionalFormatting sqref="K29">
    <cfRule type="cellIs" dxfId="138" priority="160" operator="greaterThan">
      <formula>0</formula>
    </cfRule>
  </conditionalFormatting>
  <conditionalFormatting sqref="K29">
    <cfRule type="cellIs" dxfId="137" priority="159" operator="greaterThan">
      <formula>0</formula>
    </cfRule>
  </conditionalFormatting>
  <conditionalFormatting sqref="J29">
    <cfRule type="cellIs" dxfId="136" priority="158" operator="greaterThan">
      <formula>0</formula>
    </cfRule>
  </conditionalFormatting>
  <conditionalFormatting sqref="J29">
    <cfRule type="cellIs" dxfId="135" priority="157" operator="greaterThan">
      <formula>0</formula>
    </cfRule>
  </conditionalFormatting>
  <conditionalFormatting sqref="J29">
    <cfRule type="cellIs" dxfId="134" priority="155" operator="greaterThan">
      <formula>0</formula>
    </cfRule>
    <cfRule type="cellIs" dxfId="133" priority="156" operator="greaterThan">
      <formula>0</formula>
    </cfRule>
  </conditionalFormatting>
  <conditionalFormatting sqref="J29">
    <cfRule type="cellIs" dxfId="132" priority="154" operator="greaterThan">
      <formula>0</formula>
    </cfRule>
  </conditionalFormatting>
  <conditionalFormatting sqref="J29">
    <cfRule type="cellIs" dxfId="131" priority="153" operator="greaterThan">
      <formula>0</formula>
    </cfRule>
  </conditionalFormatting>
  <conditionalFormatting sqref="J29">
    <cfRule type="cellIs" dxfId="130" priority="151" operator="greaterThan">
      <formula>0</formula>
    </cfRule>
    <cfRule type="cellIs" dxfId="129" priority="152" operator="greaterThan">
      <formula>0</formula>
    </cfRule>
  </conditionalFormatting>
  <conditionalFormatting sqref="J29">
    <cfRule type="cellIs" dxfId="128" priority="150" operator="greaterThan">
      <formula>0</formula>
    </cfRule>
  </conditionalFormatting>
  <conditionalFormatting sqref="J29">
    <cfRule type="cellIs" dxfId="127" priority="148" operator="greaterThan">
      <formula>0</formula>
    </cfRule>
    <cfRule type="cellIs" dxfId="126" priority="149" operator="greaterThan">
      <formula>0</formula>
    </cfRule>
  </conditionalFormatting>
  <conditionalFormatting sqref="J29">
    <cfRule type="cellIs" dxfId="125" priority="147" operator="greaterThan">
      <formula>0</formula>
    </cfRule>
  </conditionalFormatting>
  <conditionalFormatting sqref="J29">
    <cfRule type="cellIs" dxfId="124" priority="146" operator="greaterThan">
      <formula>0</formula>
    </cfRule>
  </conditionalFormatting>
  <conditionalFormatting sqref="I29">
    <cfRule type="cellIs" dxfId="123" priority="145" operator="greaterThan">
      <formula>0</formula>
    </cfRule>
  </conditionalFormatting>
  <conditionalFormatting sqref="I29">
    <cfRule type="cellIs" dxfId="122" priority="144" operator="greaterThan">
      <formula>0</formula>
    </cfRule>
  </conditionalFormatting>
  <conditionalFormatting sqref="I29">
    <cfRule type="cellIs" dxfId="121" priority="142" operator="greaterThan">
      <formula>0</formula>
    </cfRule>
    <cfRule type="cellIs" dxfId="120" priority="143" operator="greaterThan">
      <formula>0</formula>
    </cfRule>
  </conditionalFormatting>
  <conditionalFormatting sqref="I29">
    <cfRule type="cellIs" dxfId="119" priority="141" operator="greaterThan">
      <formula>0</formula>
    </cfRule>
  </conditionalFormatting>
  <conditionalFormatting sqref="I29">
    <cfRule type="cellIs" dxfId="118" priority="140" operator="greaterThan">
      <formula>0</formula>
    </cfRule>
  </conditionalFormatting>
  <conditionalFormatting sqref="I29">
    <cfRule type="cellIs" dxfId="117" priority="138" operator="greaterThan">
      <formula>0</formula>
    </cfRule>
    <cfRule type="cellIs" dxfId="116" priority="139" operator="greaterThan">
      <formula>0</formula>
    </cfRule>
  </conditionalFormatting>
  <conditionalFormatting sqref="I29">
    <cfRule type="cellIs" dxfId="115" priority="137" operator="greaterThan">
      <formula>0</formula>
    </cfRule>
  </conditionalFormatting>
  <conditionalFormatting sqref="I29">
    <cfRule type="cellIs" dxfId="114" priority="135" operator="greaterThan">
      <formula>0</formula>
    </cfRule>
    <cfRule type="cellIs" dxfId="113" priority="136" operator="greaterThan">
      <formula>0</formula>
    </cfRule>
  </conditionalFormatting>
  <conditionalFormatting sqref="I29">
    <cfRule type="cellIs" dxfId="112" priority="134" operator="greaterThan">
      <formula>0</formula>
    </cfRule>
  </conditionalFormatting>
  <conditionalFormatting sqref="I29">
    <cfRule type="cellIs" dxfId="111" priority="133" operator="greaterThan">
      <formula>0</formula>
    </cfRule>
  </conditionalFormatting>
  <conditionalFormatting sqref="D10">
    <cfRule type="cellIs" dxfId="110" priority="131" operator="greaterThan">
      <formula>0</formula>
    </cfRule>
  </conditionalFormatting>
  <conditionalFormatting sqref="D12">
    <cfRule type="cellIs" dxfId="109" priority="129" operator="greaterThan">
      <formula>0</formula>
    </cfRule>
    <cfRule type="cellIs" dxfId="108" priority="130" operator="greaterThan">
      <formula>0</formula>
    </cfRule>
  </conditionalFormatting>
  <conditionalFormatting sqref="D12">
    <cfRule type="cellIs" dxfId="107" priority="128" operator="greaterThan">
      <formula>0</formula>
    </cfRule>
  </conditionalFormatting>
  <conditionalFormatting sqref="V30">
    <cfRule type="cellIs" dxfId="106" priority="125" operator="greaterThan">
      <formula>0</formula>
    </cfRule>
    <cfRule type="cellIs" dxfId="105" priority="126" operator="greaterThan">
      <formula>0</formula>
    </cfRule>
    <cfRule type="cellIs" dxfId="104" priority="127" operator="greaterThan">
      <formula>" € - "</formula>
    </cfRule>
  </conditionalFormatting>
  <conditionalFormatting sqref="V30">
    <cfRule type="cellIs" dxfId="103" priority="123" operator="greaterThan">
      <formula>0</formula>
    </cfRule>
    <cfRule type="cellIs" dxfId="102" priority="124" operator="greaterThan">
      <formula>" € - "</formula>
    </cfRule>
  </conditionalFormatting>
  <conditionalFormatting sqref="V30">
    <cfRule type="cellIs" dxfId="101" priority="118" operator="greaterThan">
      <formula>0</formula>
    </cfRule>
    <cfRule type="cellIs" dxfId="100" priority="119" operator="greaterThan">
      <formula>0</formula>
    </cfRule>
    <cfRule type="cellIs" dxfId="99" priority="120" operator="greaterThan">
      <formula>0</formula>
    </cfRule>
    <cfRule type="cellIs" dxfId="98" priority="121" operator="greaterThan">
      <formula>0</formula>
    </cfRule>
    <cfRule type="cellIs" dxfId="97" priority="122" operator="greaterThan">
      <formula>0</formula>
    </cfRule>
  </conditionalFormatting>
  <conditionalFormatting sqref="V30">
    <cfRule type="cellIs" dxfId="96" priority="117" operator="greaterThan">
      <formula>0</formula>
    </cfRule>
  </conditionalFormatting>
  <conditionalFormatting sqref="J29">
    <cfRule type="cellIs" dxfId="95" priority="116" operator="greaterThan">
      <formula>0</formula>
    </cfRule>
  </conditionalFormatting>
  <conditionalFormatting sqref="J29">
    <cfRule type="cellIs" dxfId="94" priority="115" operator="greaterThan">
      <formula>0</formula>
    </cfRule>
  </conditionalFormatting>
  <conditionalFormatting sqref="J29">
    <cfRule type="cellIs" dxfId="93" priority="113" operator="greaterThan">
      <formula>0</formula>
    </cfRule>
    <cfRule type="cellIs" dxfId="92" priority="114" operator="greaterThan">
      <formula>0</formula>
    </cfRule>
  </conditionalFormatting>
  <conditionalFormatting sqref="J29">
    <cfRule type="cellIs" dxfId="91" priority="112" operator="greaterThan">
      <formula>0</formula>
    </cfRule>
  </conditionalFormatting>
  <conditionalFormatting sqref="J29">
    <cfRule type="cellIs" dxfId="90" priority="111" operator="greaterThan">
      <formula>0</formula>
    </cfRule>
  </conditionalFormatting>
  <conditionalFormatting sqref="J29">
    <cfRule type="cellIs" dxfId="89" priority="109" operator="greaterThan">
      <formula>0</formula>
    </cfRule>
    <cfRule type="cellIs" dxfId="88" priority="110" operator="greaterThan">
      <formula>0</formula>
    </cfRule>
  </conditionalFormatting>
  <conditionalFormatting sqref="J29">
    <cfRule type="cellIs" dxfId="87" priority="108" operator="greaterThan">
      <formula>0</formula>
    </cfRule>
  </conditionalFormatting>
  <conditionalFormatting sqref="J29">
    <cfRule type="cellIs" dxfId="86" priority="106" operator="greaterThan">
      <formula>0</formula>
    </cfRule>
    <cfRule type="cellIs" dxfId="85" priority="107" operator="greaterThan">
      <formula>0</formula>
    </cfRule>
  </conditionalFormatting>
  <conditionalFormatting sqref="J29">
    <cfRule type="cellIs" dxfId="84" priority="105" operator="greaterThan">
      <formula>0</formula>
    </cfRule>
  </conditionalFormatting>
  <conditionalFormatting sqref="J29">
    <cfRule type="cellIs" dxfId="83" priority="104" operator="greaterThan">
      <formula>0</formula>
    </cfRule>
  </conditionalFormatting>
  <conditionalFormatting sqref="G6">
    <cfRule type="cellIs" dxfId="82" priority="95" operator="greaterThan">
      <formula>0</formula>
    </cfRule>
  </conditionalFormatting>
  <conditionalFormatting sqref="F14">
    <cfRule type="cellIs" dxfId="81" priority="81" operator="greaterThan">
      <formula>0</formula>
    </cfRule>
    <cfRule type="cellIs" dxfId="80" priority="82" operator="greaterThan">
      <formula>0</formula>
    </cfRule>
    <cfRule type="cellIs" dxfId="79" priority="83" operator="greaterThan">
      <formula>" € - "</formula>
    </cfRule>
  </conditionalFormatting>
  <conditionalFormatting sqref="F14">
    <cfRule type="cellIs" dxfId="78" priority="79" operator="greaterThan">
      <formula>0</formula>
    </cfRule>
    <cfRule type="cellIs" dxfId="77" priority="80" operator="greaterThan">
      <formula>" € - "</formula>
    </cfRule>
  </conditionalFormatting>
  <conditionalFormatting sqref="F14">
    <cfRule type="cellIs" dxfId="76" priority="74" operator="greaterThan">
      <formula>0</formula>
    </cfRule>
    <cfRule type="cellIs" dxfId="75" priority="75" operator="greaterThan">
      <formula>0</formula>
    </cfRule>
    <cfRule type="cellIs" dxfId="74" priority="76" operator="greaterThan">
      <formula>0</formula>
    </cfRule>
    <cfRule type="cellIs" dxfId="73" priority="77" operator="greaterThan">
      <formula>0</formula>
    </cfRule>
    <cfRule type="cellIs" dxfId="72" priority="78" operator="greaterThan">
      <formula>0</formula>
    </cfRule>
  </conditionalFormatting>
  <conditionalFormatting sqref="F14">
    <cfRule type="cellIs" dxfId="71" priority="73" operator="greaterThan">
      <formula>0</formula>
    </cfRule>
  </conditionalFormatting>
  <conditionalFormatting sqref="F16">
    <cfRule type="cellIs" dxfId="70" priority="70" operator="greaterThan">
      <formula>0</formula>
    </cfRule>
    <cfRule type="cellIs" dxfId="69" priority="71" operator="greaterThan">
      <formula>0</formula>
    </cfRule>
    <cfRule type="cellIs" dxfId="68" priority="72" operator="greaterThan">
      <formula>" € - "</formula>
    </cfRule>
  </conditionalFormatting>
  <conditionalFormatting sqref="F16">
    <cfRule type="cellIs" dxfId="67" priority="68" operator="greaterThan">
      <formula>0</formula>
    </cfRule>
    <cfRule type="cellIs" dxfId="66" priority="69" operator="greaterThan">
      <formula>" € - "</formula>
    </cfRule>
  </conditionalFormatting>
  <conditionalFormatting sqref="F16">
    <cfRule type="cellIs" dxfId="65" priority="63" operator="greaterThan">
      <formula>0</formula>
    </cfRule>
    <cfRule type="cellIs" dxfId="64" priority="64" operator="greaterThan">
      <formula>0</formula>
    </cfRule>
    <cfRule type="cellIs" dxfId="63" priority="65" operator="greaterThan">
      <formula>0</formula>
    </cfRule>
    <cfRule type="cellIs" dxfId="62" priority="66" operator="greaterThan">
      <formula>0</formula>
    </cfRule>
    <cfRule type="cellIs" dxfId="61" priority="67" operator="greaterThan">
      <formula>0</formula>
    </cfRule>
  </conditionalFormatting>
  <conditionalFormatting sqref="F16">
    <cfRule type="cellIs" dxfId="60" priority="62" operator="greaterThan">
      <formula>0</formula>
    </cfRule>
  </conditionalFormatting>
  <conditionalFormatting sqref="F18">
    <cfRule type="cellIs" dxfId="59" priority="59" operator="greaterThan">
      <formula>0</formula>
    </cfRule>
    <cfRule type="cellIs" dxfId="58" priority="60" operator="greaterThan">
      <formula>0</formula>
    </cfRule>
    <cfRule type="cellIs" dxfId="57" priority="61" operator="greaterThan">
      <formula>" € - "</formula>
    </cfRule>
  </conditionalFormatting>
  <conditionalFormatting sqref="F18">
    <cfRule type="cellIs" dxfId="56" priority="57" operator="greaterThan">
      <formula>0</formula>
    </cfRule>
    <cfRule type="cellIs" dxfId="55" priority="58" operator="greaterThan">
      <formula>" € - "</formula>
    </cfRule>
  </conditionalFormatting>
  <conditionalFormatting sqref="F18">
    <cfRule type="cellIs" dxfId="54" priority="52" operator="greaterThan">
      <formula>0</formula>
    </cfRule>
    <cfRule type="cellIs" dxfId="53" priority="53" operator="greaterThan">
      <formula>0</formula>
    </cfRule>
    <cfRule type="cellIs" dxfId="52" priority="54" operator="greaterThan">
      <formula>0</formula>
    </cfRule>
    <cfRule type="cellIs" dxfId="51" priority="55" operator="greaterThan">
      <formula>0</formula>
    </cfRule>
    <cfRule type="cellIs" dxfId="50" priority="56" operator="greaterThan">
      <formula>0</formula>
    </cfRule>
  </conditionalFormatting>
  <conditionalFormatting sqref="F18">
    <cfRule type="cellIs" dxfId="49" priority="51" operator="greaterThan">
      <formula>0</formula>
    </cfRule>
  </conditionalFormatting>
  <conditionalFormatting sqref="F20">
    <cfRule type="cellIs" dxfId="48" priority="48" operator="greaterThan">
      <formula>0</formula>
    </cfRule>
    <cfRule type="cellIs" dxfId="47" priority="49" operator="greaterThan">
      <formula>0</formula>
    </cfRule>
    <cfRule type="cellIs" dxfId="46" priority="50" operator="greaterThan">
      <formula>" € - "</formula>
    </cfRule>
  </conditionalFormatting>
  <conditionalFormatting sqref="F20">
    <cfRule type="cellIs" dxfId="45" priority="46" operator="greaterThan">
      <formula>0</formula>
    </cfRule>
    <cfRule type="cellIs" dxfId="44" priority="47" operator="greaterThan">
      <formula>" € - "</formula>
    </cfRule>
  </conditionalFormatting>
  <conditionalFormatting sqref="F20">
    <cfRule type="cellIs" dxfId="43" priority="41" operator="greaterThan">
      <formula>0</formula>
    </cfRule>
    <cfRule type="cellIs" dxfId="42" priority="42" operator="greaterThan">
      <formula>0</formula>
    </cfRule>
    <cfRule type="cellIs" dxfId="41" priority="43" operator="greaterThan">
      <formula>0</formula>
    </cfRule>
    <cfRule type="cellIs" dxfId="40" priority="44" operator="greaterThan">
      <formula>0</formula>
    </cfRule>
    <cfRule type="cellIs" dxfId="39" priority="45" operator="greaterThan">
      <formula>0</formula>
    </cfRule>
  </conditionalFormatting>
  <conditionalFormatting sqref="F20">
    <cfRule type="cellIs" dxfId="38" priority="40" operator="greaterThan">
      <formula>0</formula>
    </cfRule>
  </conditionalFormatting>
  <conditionalFormatting sqref="F22">
    <cfRule type="cellIs" dxfId="37" priority="37" operator="greaterThan">
      <formula>0</formula>
    </cfRule>
    <cfRule type="cellIs" dxfId="36" priority="38" operator="greaterThan">
      <formula>0</formula>
    </cfRule>
    <cfRule type="cellIs" dxfId="35" priority="39" operator="greaterThan">
      <formula>" € - "</formula>
    </cfRule>
  </conditionalFormatting>
  <conditionalFormatting sqref="F22">
    <cfRule type="cellIs" dxfId="34" priority="35" operator="greaterThan">
      <formula>0</formula>
    </cfRule>
    <cfRule type="cellIs" dxfId="33" priority="36" operator="greaterThan">
      <formula>" € - "</formula>
    </cfRule>
  </conditionalFormatting>
  <conditionalFormatting sqref="F22">
    <cfRule type="cellIs" dxfId="32" priority="30" operator="greaterThan">
      <formula>0</formula>
    </cfRule>
    <cfRule type="cellIs" dxfId="31" priority="31" operator="greaterThan">
      <formula>0</formula>
    </cfRule>
    <cfRule type="cellIs" dxfId="30" priority="32" operator="greaterThan">
      <formula>0</formula>
    </cfRule>
    <cfRule type="cellIs" dxfId="29" priority="33" operator="greaterThan">
      <formula>0</formula>
    </cfRule>
    <cfRule type="cellIs" dxfId="28" priority="34" operator="greaterThan">
      <formula>0</formula>
    </cfRule>
  </conditionalFormatting>
  <conditionalFormatting sqref="F22">
    <cfRule type="cellIs" dxfId="27" priority="29" operator="greaterThan">
      <formula>0</formula>
    </cfRule>
  </conditionalFormatting>
  <conditionalFormatting sqref="F24">
    <cfRule type="cellIs" dxfId="26" priority="26" operator="greaterThan">
      <formula>0</formula>
    </cfRule>
    <cfRule type="cellIs" dxfId="25" priority="27" operator="greaterThan">
      <formula>0</formula>
    </cfRule>
    <cfRule type="cellIs" dxfId="24" priority="28" operator="greaterThan">
      <formula>" € - "</formula>
    </cfRule>
  </conditionalFormatting>
  <conditionalFormatting sqref="F24">
    <cfRule type="cellIs" dxfId="23" priority="24" operator="greaterThan">
      <formula>0</formula>
    </cfRule>
    <cfRule type="cellIs" dxfId="22" priority="25" operator="greaterThan">
      <formula>" € - "</formula>
    </cfRule>
  </conditionalFormatting>
  <conditionalFormatting sqref="F24">
    <cfRule type="cellIs" dxfId="21" priority="19" operator="greaterThan">
      <formula>0</formula>
    </cfRule>
    <cfRule type="cellIs" dxfId="20" priority="20" operator="greaterThan">
      <formula>0</formula>
    </cfRule>
    <cfRule type="cellIs" dxfId="19" priority="21" operator="greaterThan">
      <formula>0</formula>
    </cfRule>
    <cfRule type="cellIs" dxfId="18" priority="22" operator="greaterThan">
      <formula>0</formula>
    </cfRule>
    <cfRule type="cellIs" dxfId="17" priority="23" operator="greaterThan">
      <formula>0</formula>
    </cfRule>
  </conditionalFormatting>
  <conditionalFormatting sqref="F24">
    <cfRule type="cellIs" dxfId="16" priority="18" operator="greaterThan">
      <formula>0</formula>
    </cfRule>
  </conditionalFormatting>
  <conditionalFormatting sqref="E6">
    <cfRule type="cellIs" dxfId="15" priority="17" operator="greaterThan">
      <formula>0</formula>
    </cfRule>
  </conditionalFormatting>
  <conditionalFormatting sqref="F6">
    <cfRule type="cellIs" dxfId="14" priority="16" operator="lessThan">
      <formula>0</formula>
    </cfRule>
  </conditionalFormatting>
  <conditionalFormatting sqref="K30">
    <cfRule type="cellIs" dxfId="13" priority="15" operator="lessThan">
      <formula>0</formula>
    </cfRule>
  </conditionalFormatting>
  <conditionalFormatting sqref="L30">
    <cfRule type="cellIs" dxfId="12" priority="14" operator="lessThan">
      <formula>0</formula>
    </cfRule>
  </conditionalFormatting>
  <conditionalFormatting sqref="M30">
    <cfRule type="cellIs" dxfId="11" priority="13" operator="lessThan">
      <formula>0</formula>
    </cfRule>
  </conditionalFormatting>
  <conditionalFormatting sqref="V74">
    <cfRule type="cellIs" dxfId="10" priority="9" operator="greaterThan">
      <formula>0</formula>
    </cfRule>
    <cfRule type="cellIs" dxfId="9" priority="10" operator="greaterThan">
      <formula>0</formula>
    </cfRule>
    <cfRule type="cellIs" dxfId="8" priority="11" operator="greaterThan">
      <formula>" € - "</formula>
    </cfRule>
  </conditionalFormatting>
  <conditionalFormatting sqref="V74">
    <cfRule type="cellIs" dxfId="7" priority="7" operator="greaterThan">
      <formula>0</formula>
    </cfRule>
    <cfRule type="cellIs" dxfId="6" priority="8" operator="greaterThan">
      <formula>" € - "</formula>
    </cfRule>
  </conditionalFormatting>
  <conditionalFormatting sqref="V74">
    <cfRule type="cellIs" dxfId="5" priority="2" operator="greaterThan">
      <formula>0</formula>
    </cfRule>
    <cfRule type="cellIs" dxfId="4" priority="3" operator="greaterThan">
      <formula>0</formula>
    </cfRule>
    <cfRule type="cellIs" dxfId="3" priority="4" operator="greaterThan">
      <formula>0</formula>
    </cfRule>
    <cfRule type="cellIs" dxfId="2" priority="5" operator="greaterThan">
      <formula>0</formula>
    </cfRule>
    <cfRule type="cellIs" dxfId="1" priority="6" operator="greaterThan">
      <formula>0</formula>
    </cfRule>
  </conditionalFormatting>
  <conditionalFormatting sqref="V74">
    <cfRule type="cellIs" dxfId="0" priority="1" operator="greaterThan">
      <formula>0</formula>
    </cfRule>
  </conditionalFormatting>
  <dataValidations xWindow="119" yWindow="243" count="25">
    <dataValidation type="whole" operator="lessThanOrEqual" allowBlank="1" showInputMessage="1" showErrorMessage="1" errorTitle="Fout teken" error="U hebt een positief bedrag ingevuld" promptTitle="Omvang investeringen" prompt="Voer een negatief bedrag in voor de investeringen in (im-)materiele activa inclusief bijdragen aan activa van derden van het begrotingsjaar 2017. " sqref="C6">
      <formula1>0</formula1>
    </dataValidation>
    <dataValidation type="whole" operator="greaterThanOrEqual" allowBlank="1" showInputMessage="1" showErrorMessage="1" promptTitle="Verkoop (im-)materiele activa" prompt="Voor een positief bedrag in voor de bruto verkoopopbrengst uit de verkoop van (im-)materiele activa in het begrotingsjaar 2017. _x000a_Vul pas er na de boekwinst of het boekverlies in op het blad Balansprognose." sqref="C7">
      <formula1>0</formula1>
    </dataValidation>
    <dataValidation type="whole" operator="lessThanOrEqual" allowBlank="1" showInputMessage="1" showErrorMessage="1" errorTitle="Fout teken" error="U hebt een positief bedrag ingevuld." promptTitle="Nieuwe kapitaalverstrekkingen" prompt="Voer het bedrag (negatief) in voor de nieuwe kapitaalverstrekkingen aan verbonden partijen en aan derden in het begrotingsjaar 2017.  " sqref="G6">
      <formula1>0</formula1>
    </dataValidation>
    <dataValidation type="whole" operator="lessThanOrEqual" allowBlank="1" showInputMessage="1" showErrorMessage="1" errorTitle="Fout teken" error="U hebt een positief bedrag ingevuld" promptTitle="Nieuwe kapitaalverstrekkingen" prompt="Voer het bedrag (negatief) in voor de nieuwe kapitaalverstrekkingen aan verbonden partijen en aan derden in het begrotingsjaar 2017." sqref="H6">
      <formula1>0</formula1>
    </dataValidation>
    <dataValidation type="whole" operator="greaterThanOrEqual" allowBlank="1" showInputMessage="1" showErrorMessage="1" errorTitle="Fout teken" error="U hebt een negatief bedrag ingevuld. Een boekverlies vult u in op het blad Balansprognose " promptTitle="Verkoop deelnemingen" prompt="Voer het bedrag (positief) in voor de bruto opbrengst uit de verkoop of liquidatie van deelnemingen in het begrotingsjaar 2017. Vul pas er na de boekwinst of het boekverlies in op het blad Balansprognose. " sqref="H7">
      <formula1>0</formula1>
    </dataValidation>
    <dataValidation type="whole" operator="lessThanOrEqual" allowBlank="1" showInputMessage="1" showErrorMessage="1" errorTitle="Fout teken" error="U hebt een positief bedrag ingevuld " promptTitle="Investeringen bouwgrond" prompt="Voer het bedrag (negatief) in voor de investeringen in de aankoop van grond (niet in exploitatie). Vul pas er na op het blad Balansprognose de afname van niet in exploitatie genomen (bouw-)grond door overboeking naar onderhanden werk._x000a_ " sqref="D6">
      <formula1>0</formula1>
    </dataValidation>
    <dataValidation type="whole" operator="greaterThanOrEqual" allowBlank="1" showInputMessage="1" showErrorMessage="1" errorTitle="Foutieve invoer" error="U hebt een negatief bedrag ingevuld." promptTitle="Aflossing uitgezette leningen  " prompt="Vul het bedrag (positief) aan aflossingen in 2017 op verstrekte leningen aan verbonden partijen in. Nieuwe leningen aan verbonden partijen in 2017 moet u op het blad Balansprognose invullen." sqref="C30">
      <formula1>0</formula1>
    </dataValidation>
    <dataValidation type="whole" operator="greaterThanOrEqual" allowBlank="1" showInputMessage="1" showErrorMessage="1" errorTitle="Foutieve invoer" error="U hebt een negatief bedrag ingevuld." promptTitle="Aflossing uitgezette leningen" prompt="Vul het bedrag (positief) aan aflossingen in 2017 op leningen aan derden in. Nieuwe leningen aan derden in 2017 moet u op het blad Balansprognose invullen." sqref="D30">
      <formula1>0</formula1>
    </dataValidation>
    <dataValidation type="whole" operator="greaterThanOrEqual" allowBlank="1" showInputMessage="1" showErrorMessage="1" errorTitle="Foutieve invoer" error="U hebt een negatief bedrag ingevuld." promptTitle="Vrijval langlopende uitzettingen" prompt="Vul het bedrag (positief) in aan langlopende uitzettingen dat in 2017 vrijvalt.  Nieuwe langlopende uitzettingen in 2017 moet u op het blad Balansprognose invullen." sqref="E30">
      <formula1>0</formula1>
    </dataValidation>
    <dataValidation allowBlank="1" showInputMessage="1" showErrorMessage="1" promptTitle="Mutatie kortlopende vorderingen" prompt="Vul het bedrag in van de mutatie Kort lopende vorderingen voor het bepalen van de eindbalans 2017. Bij toename negatief bedrag invullen. Bij afname positief bedrag invullen. Bij geen idee kan dit veld leeg worden gelaten." sqref="F30"/>
    <dataValidation allowBlank="1" showInputMessage="1" showErrorMessage="1" promptTitle="Mutatie liquide middelen " prompt="Vul het bedrag in van de mutatie Liquide middelen &amp; uitzettingen kort voor het bepalen van de eindbalans 2017. Bij toename negatief bedrag invullen. Bij afname positief bedrag invullen. Bij geen idee kan dit veld leeg worden gelaten. " sqref="G30"/>
    <dataValidation allowBlank="1" showInputMessage="1" showErrorMessage="1" promptTitle="Mutatie overlopende activa" prompt="Vul het bedrag in van de mutatie Overlopende activa voor het bepalen van de eindbalans 2017. Bij toename negatief bedrag invullen. Bij afname positief bedrag invullen. Bij geen idee kan dit veld leeg worden gelaten._x000a__x000a_" sqref="H30"/>
    <dataValidation allowBlank="1" showInputMessage="1" showErrorMessage="1" promptTitle="Mutatie kortlopende schulden" prompt="Vul het bedrag in van de mutatie kortlopende schulden voor het bepalen van de stand eindbalans 2017. Bij toename positief bedrag invullen. Bij afname negatief bedrag invullen. Bij geen idee kan dit veld leeg worden gelaten." sqref="K30"/>
    <dataValidation allowBlank="1" showInputMessage="1" showErrorMessage="1" promptTitle="Mutatie crediteuren" prompt="Vul het bedrag in van de mutatie crediteuren voor het bepalen van de stand eindbalans 2017. Bij toename positief bedrag invullen. Bij afname negatief bedrag invullen. Bij geen idee kan dit veld leeg worden gelaten.  " sqref="L30"/>
    <dataValidation allowBlank="1" showInputMessage="1" showErrorMessage="1" promptTitle="Mutatie overlopende passiva" prompt="Vul het bedrag in van de mutatie overlopende passiva voor het bepalen van de stand eindbalans 2017. Bij toename positief bedrag invullen. Bij afname negatief bedrag invullen. Bij geen idee kan dit veld leeg worden gelaten. " sqref="M30"/>
    <dataValidation allowBlank="1" showInputMessage="1" showErrorMessage="1" promptTitle="Rente leningen verb. partijen" prompt="Rentepercentage is een schatting van het gemiddelde percentage voor rente op verstrekte leningen aan verbonden partijen. Vervang het percentage bij afwijking van het werkelijke rentepercentage van de te ontvangen rente." sqref="C31"/>
    <dataValidation allowBlank="1" showInputMessage="1" showErrorMessage="1" promptTitle="Rente leningen derden" prompt="Rentepercentage is een schatting van het gemiddelde percentage voor de rente op versterkte leningen aan derden. Vervang het percentage bij afwijking van het werkelijke rentepercentage van de te ontvangen rente.     " sqref="D31"/>
    <dataValidation allowBlank="1" showInputMessage="1" showErrorMessage="1" promptTitle="Rente langlopende uitzettingen" prompt="Rentepercentage is een schatting van het  gemiddelde percentage van de rente op langlopende uitzettingen. Vervang het percentage bij afwijking van het werkelijke rentepercentage voor de te ontvangen rente." sqref="E31"/>
    <dataValidation allowBlank="1" showInputMessage="1" showErrorMessage="1" promptTitle="Rente onderhandse leningen" prompt="Rentepercentage is een schatting voor het gemiddelde percentage aan te betalen rente op onderhandse leningen. Vervang het percentage bij afwijking van het werkelijke rentepercentage voor de te betalen rente. " sqref="I31"/>
    <dataValidation allowBlank="1" showInputMessage="1" showErrorMessage="1" promptTitle="Rente overige vaste schuld" prompt="Rentepercentage is een schatting voor het gemiddelde percentage voor de te betalen rente op de Overige vaste schuld. Vervang het percentage bij afwijking van het werkelijke rentepercentage voor de te betalen rente.  " sqref="J31"/>
    <dataValidation type="whole" operator="lessThanOrEqual" allowBlank="1" showInputMessage="1" showErrorMessage="1" errorTitle="Fout teken" error="U hebt een positief bedrag ingevuld " promptTitle="Investeringen bouwgrond" prompt="Voer het bedrag (negatief) in voor de bruto investeringen in onderhanden werk. Vul pas er na op het blad Balansprognose de afname onderhanden werk (kostprijs verkopen) in voor bepaling eindbalans._x000a_ " sqref="E6">
      <formula1>0</formula1>
    </dataValidation>
    <dataValidation type="whole" operator="greaterThanOrEqual" allowBlank="1" showInputMessage="1" showErrorMessage="1" errorTitle="Fout teken" error="U hebt een negatiefg bedrag ingevuld" promptTitle="Opbrengst bouwgrondexploitatie " prompt="Voer het bedrag (positief) in voor de verwachte overboeking van niet in exploitatie genomen grond naar onderhanden werk, exclusief de waardestijging. " sqref="D7">
      <formula1>0</formula1>
    </dataValidation>
    <dataValidation allowBlank="1" showInputMessage="1" showErrorMessage="1" promptTitle="Mutatie voorraden" prompt="Voer voor toename van de overige voorraden een negatief getal in. Voer voor een afname van de overige voorraden een positief getal in." sqref="F6"/>
    <dataValidation operator="greaterThanOrEqual" allowBlank="1" showInputMessage="1" showErrorMessage="1" errorTitle="Fout teken" error="U hebt een negatief bedrag ingevuld" promptTitle="Opbrengst bouwgrondexploitatie " prompt="Voer het bedrag (positief) in voor de bruto verkoopopbrengst in 2017 van de bouwgrondexploitatie. " sqref="E7"/>
    <dataValidation type="whole" operator="greaterThanOrEqual" allowBlank="1" showInputMessage="1" showErrorMessage="1" errorTitle="Foutieve invoer" error="U hebt een negatief bedrag ingevuld. Een boekverlies vult u in op het blad Balansprognose." promptTitle="Verkoop deelnemingen" prompt="Voer het bedrag (positief) in voor de bruto opbrengst uit de verkoop of liquidatie van deelnemingen in het begrotingsjaar 2017. Vul pas er na de boekwinst of het boekverlies in op het blad Balansprognose. " sqref="G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3"/>
  <sheetViews>
    <sheetView showGridLines="0" zoomScale="80" zoomScaleNormal="80" workbookViewId="0">
      <selection activeCell="C3" sqref="C3"/>
    </sheetView>
  </sheetViews>
  <sheetFormatPr defaultColWidth="9.140625" defaultRowHeight="12.75" x14ac:dyDescent="0.2"/>
  <cols>
    <col min="1" max="1" width="3" style="3" customWidth="1"/>
    <col min="2" max="2" width="96.7109375" style="3" bestFit="1" customWidth="1"/>
    <col min="3" max="3" width="17.85546875" style="3" bestFit="1" customWidth="1"/>
    <col min="4" max="4" width="9.140625" style="3" customWidth="1"/>
    <col min="5" max="5" width="3.42578125" style="3" customWidth="1"/>
    <col min="6" max="6" width="82.7109375" style="3" customWidth="1"/>
    <col min="7" max="7" width="18.42578125" style="3" customWidth="1"/>
    <col min="8" max="8" width="18.7109375" style="3" hidden="1" customWidth="1"/>
    <col min="9" max="9" width="39.28515625" style="3" hidden="1" customWidth="1"/>
    <col min="10" max="10" width="18.7109375" style="3" hidden="1" customWidth="1"/>
    <col min="11" max="11" width="40.28515625" style="3" hidden="1" customWidth="1"/>
    <col min="12" max="12" width="33.85546875" style="3" hidden="1" customWidth="1"/>
    <col min="13" max="13" width="18.7109375" style="3" hidden="1" customWidth="1"/>
    <col min="14" max="14" width="23.42578125" style="3" hidden="1" customWidth="1"/>
    <col min="15" max="15" width="18.7109375" style="3" customWidth="1"/>
    <col min="16" max="16" width="33.42578125" style="3" bestFit="1" customWidth="1"/>
    <col min="17" max="17" width="9.85546875" style="3" bestFit="1" customWidth="1"/>
    <col min="18" max="18" width="35.140625" style="3" bestFit="1" customWidth="1"/>
    <col min="19" max="26" width="9.140625" style="3" customWidth="1"/>
    <col min="27" max="16384" width="9.140625" style="3"/>
  </cols>
  <sheetData>
    <row r="1" spans="1:19" ht="13.15" x14ac:dyDescent="0.25">
      <c r="A1" s="296" t="s">
        <v>113</v>
      </c>
      <c r="B1" s="296"/>
      <c r="C1" s="1">
        <f>Macrogegevens!C1</f>
        <v>2017</v>
      </c>
      <c r="D1" s="1"/>
      <c r="E1" s="1" t="s">
        <v>114</v>
      </c>
      <c r="F1" s="1"/>
      <c r="G1" s="1">
        <f>Macrogegevens!C1</f>
        <v>2017</v>
      </c>
      <c r="H1" s="2"/>
      <c r="I1" s="2" t="s">
        <v>0</v>
      </c>
      <c r="L1" s="2" t="s">
        <v>31</v>
      </c>
      <c r="P1" s="219" t="s">
        <v>684</v>
      </c>
      <c r="Q1" s="220"/>
      <c r="R1" s="5"/>
      <c r="S1" s="5"/>
    </row>
    <row r="2" spans="1:19" ht="13.15" x14ac:dyDescent="0.25">
      <c r="A2" s="1" t="s">
        <v>4</v>
      </c>
      <c r="B2" s="1" t="s">
        <v>645</v>
      </c>
      <c r="C2" s="4">
        <f>SUM(1,J10,J3,SUM(-J5,J6)*J11)</f>
        <v>1.0239997326199612</v>
      </c>
      <c r="D2" s="5"/>
      <c r="E2" s="1" t="s">
        <v>4</v>
      </c>
      <c r="F2" s="1" t="s">
        <v>120</v>
      </c>
      <c r="G2" s="6">
        <f>SUM(1,J4,J6)</f>
        <v>1.0185639760275327</v>
      </c>
      <c r="I2" s="3" t="s">
        <v>1</v>
      </c>
      <c r="J2" s="8">
        <f>Macrogegevens!C4</f>
        <v>1.325E-2</v>
      </c>
      <c r="L2" s="3" t="s">
        <v>757</v>
      </c>
      <c r="M2" s="21">
        <f>Macrogegevens!G4</f>
        <v>0.05</v>
      </c>
      <c r="N2" s="21">
        <f>SUM(1,-M2)</f>
        <v>0.95</v>
      </c>
      <c r="P2" s="221" t="s">
        <v>666</v>
      </c>
      <c r="Q2" s="4">
        <f>SUM(C3,C35,C36,C46,C54,C55,C69,C70)/C89</f>
        <v>0.69142107316824353</v>
      </c>
      <c r="R2" s="5" t="s">
        <v>81</v>
      </c>
      <c r="S2" s="251">
        <f>C3/C89</f>
        <v>0.36497403694529446</v>
      </c>
    </row>
    <row r="3" spans="1:19" ht="13.15" x14ac:dyDescent="0.25">
      <c r="A3" s="5">
        <v>1</v>
      </c>
      <c r="B3" s="5" t="s">
        <v>81</v>
      </c>
      <c r="C3" s="13">
        <f>VLOOKUP(Macrogegevens!C2,'Data inkomsten'!C2:Y402,2,0)</f>
        <v>20423582.133421734</v>
      </c>
      <c r="D3" s="5"/>
      <c r="E3" s="5">
        <v>1</v>
      </c>
      <c r="F3" s="5" t="s">
        <v>96</v>
      </c>
      <c r="G3" s="13">
        <v>0</v>
      </c>
      <c r="I3" s="3" t="s">
        <v>646</v>
      </c>
      <c r="J3" s="8">
        <f>SUM(Macrogegevens!C6,-J5)</f>
        <v>1.4136000000000003E-2</v>
      </c>
      <c r="L3" s="3" t="s">
        <v>756</v>
      </c>
      <c r="M3" s="21">
        <f>Macrogegevens!G3</f>
        <v>0.05</v>
      </c>
      <c r="N3" s="21">
        <f>SUM(1,-M3)</f>
        <v>0.95</v>
      </c>
      <c r="P3" s="222" t="s">
        <v>659</v>
      </c>
      <c r="Q3" s="4">
        <f>SUM(C25,C76)/C89</f>
        <v>7.4122837313117196E-2</v>
      </c>
      <c r="R3" s="222" t="s">
        <v>657</v>
      </c>
      <c r="S3" s="251">
        <f>C69/C89</f>
        <v>3.5490984470773243E-2</v>
      </c>
    </row>
    <row r="4" spans="1:19" ht="13.15" x14ac:dyDescent="0.25">
      <c r="A4" s="5">
        <v>2</v>
      </c>
      <c r="B4" s="12"/>
      <c r="C4" s="13">
        <v>0</v>
      </c>
      <c r="D4" s="5"/>
      <c r="E4" s="5">
        <v>2</v>
      </c>
      <c r="F4" s="5" t="s">
        <v>133</v>
      </c>
      <c r="G4" s="13">
        <v>0</v>
      </c>
      <c r="I4" s="3" t="s">
        <v>2</v>
      </c>
      <c r="J4" s="8">
        <f>Macrogegevens!C7</f>
        <v>2.1250000000000002E-2</v>
      </c>
      <c r="M4" s="21"/>
      <c r="N4" s="21"/>
      <c r="P4" s="222" t="s">
        <v>662</v>
      </c>
      <c r="Q4" s="4">
        <f>C9/C89</f>
        <v>4.1673368001572578E-2</v>
      </c>
      <c r="R4" s="222" t="s">
        <v>658</v>
      </c>
      <c r="S4" s="251">
        <f>SUM(C36,C70)/C89</f>
        <v>0.20142188030522346</v>
      </c>
    </row>
    <row r="5" spans="1:19" ht="13.15" x14ac:dyDescent="0.25">
      <c r="A5" s="5"/>
      <c r="B5" s="5"/>
      <c r="C5" s="4"/>
      <c r="D5" s="5"/>
      <c r="E5" s="5">
        <v>3</v>
      </c>
      <c r="F5" s="36" t="s">
        <v>916</v>
      </c>
      <c r="G5" s="90">
        <v>0</v>
      </c>
      <c r="I5" s="3" t="s">
        <v>73</v>
      </c>
      <c r="J5" s="8">
        <f>Macrogegevens!C11</f>
        <v>3.3639999999999998E-3</v>
      </c>
      <c r="L5" s="3" t="s">
        <v>758</v>
      </c>
      <c r="M5" s="21">
        <f>Macrogegevens!G6</f>
        <v>0.02</v>
      </c>
      <c r="N5" s="21">
        <f>SUM(1,M5)</f>
        <v>1.02</v>
      </c>
      <c r="P5" s="222" t="s">
        <v>83</v>
      </c>
      <c r="Q5" s="4">
        <f>C10/C89</f>
        <v>3.7884880001429616E-2</v>
      </c>
      <c r="R5" s="222" t="s">
        <v>661</v>
      </c>
      <c r="S5" s="251">
        <f>C35/C89</f>
        <v>8.2653478439571826E-2</v>
      </c>
    </row>
    <row r="6" spans="1:19" ht="13.15" x14ac:dyDescent="0.25">
      <c r="A6" s="5"/>
      <c r="B6" s="5" t="s">
        <v>7</v>
      </c>
      <c r="C6" s="9">
        <f>SUM(C3:C4)</f>
        <v>20423582.133421734</v>
      </c>
      <c r="D6" s="5"/>
      <c r="E6" s="5">
        <v>4</v>
      </c>
      <c r="F6" s="36" t="s">
        <v>917</v>
      </c>
      <c r="G6" s="40">
        <v>0</v>
      </c>
      <c r="I6" s="3" t="s">
        <v>74</v>
      </c>
      <c r="J6" s="8">
        <f>Macrogegevens!C12</f>
        <v>-2.6860239724672656E-3</v>
      </c>
      <c r="L6" s="3" t="s">
        <v>759</v>
      </c>
      <c r="M6" s="21">
        <f>Macrogegevens!G5</f>
        <v>0.02</v>
      </c>
      <c r="N6" s="21">
        <f>SUM(1,M6)</f>
        <v>1.02</v>
      </c>
      <c r="P6" s="222" t="s">
        <v>664</v>
      </c>
      <c r="Q6" s="4">
        <f>C86/C89</f>
        <v>4.4675566039421723E-2</v>
      </c>
      <c r="R6" s="222" t="s">
        <v>667</v>
      </c>
      <c r="S6" s="4">
        <f>SUM(C46,C54,C55)/C89</f>
        <v>6.8806930073804038E-3</v>
      </c>
    </row>
    <row r="7" spans="1:19" ht="13.15" x14ac:dyDescent="0.25">
      <c r="A7" s="5"/>
      <c r="B7" s="5"/>
      <c r="C7" s="5"/>
      <c r="D7" s="5"/>
      <c r="E7" s="5">
        <v>5</v>
      </c>
      <c r="F7" s="36" t="s">
        <v>918</v>
      </c>
      <c r="G7" s="40">
        <v>0</v>
      </c>
      <c r="I7" s="3" t="s">
        <v>26</v>
      </c>
      <c r="J7" s="8">
        <f>Macrogegevens!C16</f>
        <v>9.4999999999999998E-3</v>
      </c>
      <c r="M7" s="21"/>
      <c r="N7" s="7"/>
      <c r="P7" s="222" t="s">
        <v>660</v>
      </c>
      <c r="Q7" s="4">
        <f>SUM(C11,C12,C13,C14,C26,C27,C77)/C89</f>
        <v>2.3249164566915063E-2</v>
      </c>
      <c r="R7" s="222"/>
      <c r="S7" s="222"/>
    </row>
    <row r="8" spans="1:19" ht="13.15" x14ac:dyDescent="0.25">
      <c r="A8" s="1" t="s">
        <v>5</v>
      </c>
      <c r="B8" s="1" t="s">
        <v>100</v>
      </c>
      <c r="C8" s="4">
        <f>SUM(1,J2,J6)</f>
        <v>1.0105639760275327</v>
      </c>
      <c r="D8" s="5"/>
      <c r="E8" s="5">
        <v>6</v>
      </c>
      <c r="F8" s="12"/>
      <c r="G8" s="13">
        <v>0</v>
      </c>
      <c r="I8" s="16" t="s">
        <v>784</v>
      </c>
      <c r="J8" s="8">
        <f>Macrogegevens!C8</f>
        <v>2.9499999999999998E-2</v>
      </c>
      <c r="L8" s="3" t="s">
        <v>56</v>
      </c>
      <c r="M8" s="21">
        <f>Macrogegevens!G17</f>
        <v>1.0999999999999999E-2</v>
      </c>
      <c r="P8" s="222" t="s">
        <v>663</v>
      </c>
      <c r="Q8" s="4">
        <f>SUM(C43,C44,C45,C53)/C89</f>
        <v>1.8745867510141352E-2</v>
      </c>
      <c r="R8" s="222"/>
      <c r="S8" s="222"/>
    </row>
    <row r="9" spans="1:19" ht="15" x14ac:dyDescent="0.4">
      <c r="A9" s="5">
        <v>3</v>
      </c>
      <c r="B9" s="5" t="s">
        <v>84</v>
      </c>
      <c r="C9" s="98">
        <f>VLOOKUP(Macrogegevens!$C$2,'Data inkomsten'!$C$2:$Y$402,18,0)*1000</f>
        <v>2332000</v>
      </c>
      <c r="D9" s="5"/>
      <c r="E9" s="5">
        <v>7</v>
      </c>
      <c r="F9" s="12"/>
      <c r="G9" s="13">
        <v>0</v>
      </c>
      <c r="I9" s="3" t="s">
        <v>80</v>
      </c>
      <c r="J9" s="8">
        <f>Macrogegevens!C13</f>
        <v>1.9405700424499697E-2</v>
      </c>
      <c r="L9" s="3" t="s">
        <v>750</v>
      </c>
      <c r="M9" s="21">
        <f>Macrogegevens!G12</f>
        <v>0.01</v>
      </c>
      <c r="P9" s="5" t="s">
        <v>792</v>
      </c>
      <c r="Q9" s="4">
        <f>SUM(C28,C85)/C89</f>
        <v>6.0001965724905742E-3</v>
      </c>
      <c r="R9" s="222"/>
      <c r="S9" s="222"/>
    </row>
    <row r="10" spans="1:19" ht="15" x14ac:dyDescent="0.4">
      <c r="A10" s="36">
        <v>4</v>
      </c>
      <c r="B10" s="36" t="s">
        <v>83</v>
      </c>
      <c r="C10" s="98">
        <f>VLOOKUP(Macrogegevens!C2,'Data inkomsten'!C2:Y402,19,0)*1000</f>
        <v>2120000</v>
      </c>
      <c r="D10" s="5"/>
      <c r="E10" s="5"/>
      <c r="F10" s="5"/>
      <c r="G10" s="277"/>
      <c r="I10" s="3" t="s">
        <v>644</v>
      </c>
      <c r="J10" s="8">
        <f>Macrogegevens!C5</f>
        <v>1.4250000000000001E-2</v>
      </c>
      <c r="K10" s="153" t="s">
        <v>566</v>
      </c>
      <c r="L10" s="3" t="s">
        <v>751</v>
      </c>
      <c r="M10" s="21">
        <f>Macrogegevens!G13</f>
        <v>0.02</v>
      </c>
      <c r="N10" s="43"/>
      <c r="P10" s="3" t="s">
        <v>665</v>
      </c>
      <c r="Q10" s="21">
        <f>SUM(1,-Q2,-Q3,-Q4,-Q5,-Q6,-Q7,-Q8,-Q9)</f>
        <v>6.2227046826668402E-2</v>
      </c>
    </row>
    <row r="11" spans="1:19" s="34" customFormat="1" ht="13.15" x14ac:dyDescent="0.25">
      <c r="A11" s="36">
        <v>5</v>
      </c>
      <c r="B11" s="36" t="s">
        <v>123</v>
      </c>
      <c r="C11" s="13">
        <f>VLOOKUP(Macrogegevens!$C$2,'Data inkomsten'!$C$2:$Y$402,15,0)*1000</f>
        <v>0</v>
      </c>
      <c r="D11" s="36"/>
      <c r="E11" s="5"/>
      <c r="F11" s="5" t="s">
        <v>7</v>
      </c>
      <c r="G11" s="9">
        <f>SUM(G3:G9)</f>
        <v>0</v>
      </c>
      <c r="I11" s="34" t="s">
        <v>116</v>
      </c>
      <c r="J11" s="43">
        <f>IF(Macrogegevens!C10="Hoog",85%,K11)</f>
        <v>0.72499999999999998</v>
      </c>
      <c r="K11" s="154">
        <f>IF(Macrogegevens!C10="Midden",72.5%,60%)</f>
        <v>0.72499999999999998</v>
      </c>
      <c r="L11" s="34" t="s">
        <v>752</v>
      </c>
      <c r="M11" s="43">
        <f>Macrogegevens!G14</f>
        <v>0.03</v>
      </c>
      <c r="N11" s="43"/>
    </row>
    <row r="12" spans="1:19" s="34" customFormat="1" ht="13.15" x14ac:dyDescent="0.25">
      <c r="A12" s="36">
        <v>6</v>
      </c>
      <c r="B12" s="36" t="s">
        <v>85</v>
      </c>
      <c r="C12" s="13">
        <f>VLOOKUP(Macrogegevens!$C$2,'Data inkomsten'!$C$2:$Y$402,14,0)*1000</f>
        <v>138000</v>
      </c>
      <c r="D12" s="36"/>
      <c r="E12" s="5"/>
      <c r="F12" s="5"/>
      <c r="G12" s="9"/>
      <c r="I12" s="34" t="s">
        <v>549</v>
      </c>
      <c r="J12" s="159">
        <f>Macrogegevens!G15</f>
        <v>2163575.6618180159</v>
      </c>
      <c r="L12" s="34" t="s">
        <v>57</v>
      </c>
      <c r="M12" s="42">
        <f>Macrogegevens!G18</f>
        <v>1</v>
      </c>
    </row>
    <row r="13" spans="1:19" s="34" customFormat="1" ht="13.15" x14ac:dyDescent="0.25">
      <c r="A13" s="36">
        <v>7</v>
      </c>
      <c r="B13" s="36" t="s">
        <v>95</v>
      </c>
      <c r="C13" s="13">
        <f>VLOOKUP(Macrogegevens!$C$2,'Data inkomsten'!$C$2:$Y$402,10,0)*1000</f>
        <v>0</v>
      </c>
      <c r="D13" s="36"/>
      <c r="E13" s="1" t="s">
        <v>5</v>
      </c>
      <c r="F13" s="1" t="s">
        <v>846</v>
      </c>
      <c r="G13" s="4">
        <f>SUM(1,$J$2,$J$6,$J$8)</f>
        <v>1.0400639760275328</v>
      </c>
      <c r="I13" s="34" t="s">
        <v>590</v>
      </c>
      <c r="J13" s="159">
        <v>0</v>
      </c>
      <c r="L13" s="34" t="s">
        <v>591</v>
      </c>
      <c r="M13" s="41">
        <f>Macrogegevens!G15</f>
        <v>2163575.6618180159</v>
      </c>
      <c r="N13" s="188">
        <f>IF(M13&lt;M15,0.2*M13,0)</f>
        <v>432715.13236360322</v>
      </c>
    </row>
    <row r="14" spans="1:19" ht="13.15" x14ac:dyDescent="0.25">
      <c r="A14" s="36">
        <v>8</v>
      </c>
      <c r="B14" s="36" t="s">
        <v>660</v>
      </c>
      <c r="C14" s="13">
        <f>SUM(VLOOKUP(Macrogegevens!$C$2,'Data inkomsten'!$C$2:$Y$402,13,0)*1000,VLOOKUP(Macrogegevens!$C$2,'Data inkomsten'!$C$2:$Y$402,17,0))</f>
        <v>0</v>
      </c>
      <c r="D14" s="5"/>
      <c r="E14" s="5">
        <v>8</v>
      </c>
      <c r="F14" s="5" t="s">
        <v>919</v>
      </c>
      <c r="G14" s="90">
        <v>0</v>
      </c>
      <c r="I14" s="3" t="s">
        <v>22</v>
      </c>
      <c r="J14" s="30">
        <f>Balansprognose!G35</f>
        <v>55959000</v>
      </c>
      <c r="L14" s="3" t="s">
        <v>592</v>
      </c>
      <c r="M14" s="14">
        <f>Macrogegevens!G16</f>
        <v>41389731.490096748</v>
      </c>
    </row>
    <row r="15" spans="1:19" ht="13.15" x14ac:dyDescent="0.25">
      <c r="A15" s="36">
        <v>9</v>
      </c>
      <c r="B15" s="36" t="s">
        <v>93</v>
      </c>
      <c r="C15" s="13">
        <f>VLOOKUP(Macrogegevens!$C$2,'Data inkomsten'!$C$2:$Y$402,23,0)*1000</f>
        <v>12000</v>
      </c>
      <c r="D15" s="5"/>
      <c r="E15" s="5">
        <v>9</v>
      </c>
      <c r="F15" s="5" t="s">
        <v>799</v>
      </c>
      <c r="G15" s="90">
        <v>0</v>
      </c>
      <c r="H15" s="2"/>
      <c r="I15" s="218"/>
      <c r="L15" s="3" t="s">
        <v>875</v>
      </c>
      <c r="M15" s="50">
        <f>Macrogegevens!H18</f>
        <v>2395431.8933553118</v>
      </c>
    </row>
    <row r="16" spans="1:19" ht="13.15" x14ac:dyDescent="0.25">
      <c r="A16" s="36">
        <v>10</v>
      </c>
      <c r="B16" s="36" t="s">
        <v>94</v>
      </c>
      <c r="C16" s="39">
        <v>0</v>
      </c>
      <c r="D16" s="5"/>
      <c r="E16" s="5">
        <v>10</v>
      </c>
      <c r="F16" s="102" t="s">
        <v>920</v>
      </c>
      <c r="G16" s="90">
        <v>0</v>
      </c>
      <c r="H16" s="15"/>
    </row>
    <row r="17" spans="1:17" ht="13.15" x14ac:dyDescent="0.25">
      <c r="A17" s="36">
        <v>11</v>
      </c>
      <c r="B17" s="36" t="s">
        <v>118</v>
      </c>
      <c r="C17" s="39">
        <v>0</v>
      </c>
      <c r="D17" s="5"/>
      <c r="E17" s="5">
        <v>11</v>
      </c>
      <c r="F17" s="102" t="s">
        <v>921</v>
      </c>
      <c r="G17" s="90">
        <v>0</v>
      </c>
      <c r="M17" s="24"/>
    </row>
    <row r="18" spans="1:17" ht="13.15" x14ac:dyDescent="0.25">
      <c r="A18" s="36">
        <v>12</v>
      </c>
      <c r="B18" s="36" t="s">
        <v>845</v>
      </c>
      <c r="C18" s="13">
        <v>0</v>
      </c>
      <c r="D18" s="5"/>
      <c r="E18" s="5">
        <v>12</v>
      </c>
      <c r="F18" s="12"/>
      <c r="G18" s="13">
        <v>0</v>
      </c>
      <c r="M18" s="24"/>
    </row>
    <row r="19" spans="1:17" ht="13.15" x14ac:dyDescent="0.25">
      <c r="A19" s="5">
        <v>13</v>
      </c>
      <c r="B19" s="12"/>
      <c r="C19" s="13">
        <v>0</v>
      </c>
      <c r="D19" s="5"/>
      <c r="E19" s="5">
        <v>13</v>
      </c>
      <c r="F19" s="12"/>
      <c r="G19" s="13">
        <v>0</v>
      </c>
      <c r="M19" s="24"/>
    </row>
    <row r="20" spans="1:17" ht="13.15" x14ac:dyDescent="0.25">
      <c r="A20" s="5">
        <v>14</v>
      </c>
      <c r="B20" s="12"/>
      <c r="C20" s="13">
        <v>0</v>
      </c>
      <c r="D20" s="5"/>
      <c r="E20" s="5"/>
      <c r="F20" s="5"/>
      <c r="G20" s="9"/>
      <c r="M20" s="24"/>
    </row>
    <row r="21" spans="1:17" ht="13.15" x14ac:dyDescent="0.25">
      <c r="A21" s="5"/>
      <c r="B21" s="5"/>
      <c r="C21" s="9"/>
      <c r="D21" s="5"/>
      <c r="E21" s="5"/>
      <c r="F21" s="5" t="s">
        <v>8</v>
      </c>
      <c r="G21" s="9">
        <f>SUM(G14:G19)</f>
        <v>0</v>
      </c>
      <c r="M21" s="24"/>
    </row>
    <row r="22" spans="1:17" ht="13.15" x14ac:dyDescent="0.25">
      <c r="A22" s="5"/>
      <c r="B22" s="5" t="s">
        <v>8</v>
      </c>
      <c r="C22" s="9">
        <f>SUM(C9:C20)</f>
        <v>4602000</v>
      </c>
      <c r="D22" s="5"/>
      <c r="E22" s="1"/>
      <c r="F22" s="1"/>
      <c r="G22" s="4"/>
      <c r="M22" s="24"/>
    </row>
    <row r="23" spans="1:17" ht="13.15" x14ac:dyDescent="0.25">
      <c r="A23" s="5"/>
      <c r="B23" s="5"/>
      <c r="C23" s="9"/>
      <c r="D23" s="5"/>
      <c r="E23" s="1" t="s">
        <v>6</v>
      </c>
      <c r="F23" s="1" t="s">
        <v>104</v>
      </c>
      <c r="G23" s="4">
        <f>SUM(1,J2,J6)</f>
        <v>1.0105639760275327</v>
      </c>
      <c r="M23" s="24"/>
    </row>
    <row r="24" spans="1:17" ht="13.15" x14ac:dyDescent="0.25">
      <c r="A24" s="1" t="s">
        <v>6</v>
      </c>
      <c r="B24" s="1" t="s">
        <v>99</v>
      </c>
      <c r="C24" s="4">
        <f>SUM(1,J2,J3)</f>
        <v>1.0273859999999999</v>
      </c>
      <c r="D24" s="5"/>
      <c r="E24" s="5">
        <v>14</v>
      </c>
      <c r="F24" s="36" t="s">
        <v>853</v>
      </c>
      <c r="G24" s="90">
        <v>0</v>
      </c>
      <c r="M24" s="24"/>
    </row>
    <row r="25" spans="1:17" ht="13.15" x14ac:dyDescent="0.25">
      <c r="A25" s="5">
        <v>15</v>
      </c>
      <c r="B25" s="5" t="s">
        <v>82</v>
      </c>
      <c r="C25" s="13">
        <f>Macrogegevens!X46</f>
        <v>2838119.8957428327</v>
      </c>
      <c r="D25" s="5"/>
      <c r="E25" s="5">
        <v>15</v>
      </c>
      <c r="F25" s="102" t="s">
        <v>847</v>
      </c>
      <c r="G25" s="13">
        <v>0</v>
      </c>
      <c r="K25" s="24"/>
      <c r="L25" s="24"/>
      <c r="M25" s="24"/>
    </row>
    <row r="26" spans="1:17" ht="13.15" x14ac:dyDescent="0.25">
      <c r="A26" s="5">
        <v>16</v>
      </c>
      <c r="B26" s="5" t="s">
        <v>92</v>
      </c>
      <c r="C26" s="13">
        <f>VLOOKUP(Macrogegevens!C2,'Data inkomsten'!C2:Y402,11,0)*1000</f>
        <v>1163000</v>
      </c>
      <c r="D26" s="5"/>
      <c r="E26" s="5">
        <v>16</v>
      </c>
      <c r="F26" s="5" t="s">
        <v>850</v>
      </c>
      <c r="G26" s="22">
        <v>0</v>
      </c>
      <c r="K26" s="24"/>
      <c r="L26" s="24"/>
      <c r="M26" s="24"/>
    </row>
    <row r="27" spans="1:17" ht="13.15" x14ac:dyDescent="0.25">
      <c r="A27" s="5">
        <v>17</v>
      </c>
      <c r="B27" s="5" t="s">
        <v>131</v>
      </c>
      <c r="C27" s="13">
        <f>VLOOKUP(Macrogegevens!C2,'Data inkomsten'!C2:Y402,16,0)*1000</f>
        <v>0</v>
      </c>
      <c r="D27" s="5"/>
      <c r="E27" s="36">
        <v>17</v>
      </c>
      <c r="F27" s="5" t="s">
        <v>927</v>
      </c>
      <c r="G27" s="39">
        <v>0</v>
      </c>
    </row>
    <row r="28" spans="1:17" ht="13.15" x14ac:dyDescent="0.25">
      <c r="A28" s="5">
        <v>18</v>
      </c>
      <c r="B28" s="5" t="s">
        <v>134</v>
      </c>
      <c r="C28" s="13">
        <v>0</v>
      </c>
      <c r="D28" s="5"/>
      <c r="E28" s="5">
        <v>18</v>
      </c>
      <c r="F28" s="12"/>
      <c r="G28" s="22">
        <v>0</v>
      </c>
      <c r="H28" s="2" t="s">
        <v>53</v>
      </c>
      <c r="P28" s="275" t="s">
        <v>839</v>
      </c>
      <c r="Q28" s="276"/>
    </row>
    <row r="29" spans="1:17" ht="13.15" x14ac:dyDescent="0.25">
      <c r="A29" s="5">
        <v>19</v>
      </c>
      <c r="B29" s="12"/>
      <c r="C29" s="13">
        <v>0</v>
      </c>
      <c r="D29" s="5"/>
      <c r="E29" s="5"/>
      <c r="F29" s="5"/>
      <c r="G29" s="5"/>
      <c r="H29" s="15" t="s">
        <v>23</v>
      </c>
      <c r="I29" s="15" t="s">
        <v>22</v>
      </c>
      <c r="J29" s="15" t="s">
        <v>24</v>
      </c>
      <c r="K29" s="15" t="s">
        <v>52</v>
      </c>
      <c r="L29" s="15" t="s">
        <v>54</v>
      </c>
      <c r="M29" s="15" t="s">
        <v>3</v>
      </c>
      <c r="N29" s="3" t="s">
        <v>58</v>
      </c>
      <c r="P29" s="266" t="s">
        <v>793</v>
      </c>
      <c r="Q29" s="271">
        <f>Q2</f>
        <v>0.69142107316824353</v>
      </c>
    </row>
    <row r="30" spans="1:17" ht="13.15" x14ac:dyDescent="0.25">
      <c r="A30" s="5">
        <v>20</v>
      </c>
      <c r="B30" s="12"/>
      <c r="C30" s="13">
        <v>0</v>
      </c>
      <c r="D30" s="5"/>
      <c r="E30" s="5"/>
      <c r="F30" s="5" t="s">
        <v>9</v>
      </c>
      <c r="G30" s="9">
        <f>SUM(G24:G28)</f>
        <v>0</v>
      </c>
      <c r="H30" s="3">
        <f>Macrogegevens!C1</f>
        <v>2017</v>
      </c>
      <c r="I30" s="35">
        <f>C83</f>
        <v>53123235</v>
      </c>
      <c r="J30" s="35">
        <f>G67</f>
        <v>51515937.490096748</v>
      </c>
      <c r="K30" s="24">
        <v>0</v>
      </c>
      <c r="L30" s="24">
        <f>SUM(I30,-J30,K30)</f>
        <v>1607297.5099032521</v>
      </c>
      <c r="M30" s="24">
        <f>J7*0.5*L30</f>
        <v>7634.6631720404475</v>
      </c>
      <c r="N30" s="24">
        <f t="shared" ref="N30:N39" si="0">SUM(L30:M30)</f>
        <v>1614932.1730752925</v>
      </c>
      <c r="P30" s="267" t="s">
        <v>885</v>
      </c>
      <c r="Q30" s="126">
        <f>SUM(C82/G66,-1)</f>
        <v>1.1981591873996056E-2</v>
      </c>
    </row>
    <row r="31" spans="1:17" s="34" customFormat="1" ht="14.25" customHeight="1" x14ac:dyDescent="0.25">
      <c r="A31" s="5"/>
      <c r="B31" s="5"/>
      <c r="C31" s="9"/>
      <c r="D31" s="36"/>
      <c r="E31" s="5"/>
      <c r="F31" s="5"/>
      <c r="G31" s="5"/>
      <c r="H31" s="3">
        <f t="shared" ref="H31:H39" si="1">SUM(H30,1)</f>
        <v>2018</v>
      </c>
      <c r="I31" s="35">
        <f>SUM(SUM(C83*N3,J13)*C82,N13*C82)</f>
        <v>52136211.007314496</v>
      </c>
      <c r="J31" s="35">
        <f>SUM(G67*N6,J13)*G66</f>
        <v>53185427.641137399</v>
      </c>
      <c r="K31" s="35">
        <f>SUM((M8*M12*SUM(M13,M14))*((SUM(1,0.5*J2,0.5*J4,J6)^1)),-N13*C82)</f>
        <v>42837.430684918771</v>
      </c>
      <c r="L31" s="35">
        <f t="shared" ref="L31:L39" si="2">SUM(I31,-J31,K31)</f>
        <v>-1006379.2031379843</v>
      </c>
      <c r="M31" s="35">
        <f>SUM(SUM(J7,M9)*0.5*L31,J7*N30)</f>
        <v>5529.6584136199326</v>
      </c>
      <c r="N31" s="35">
        <f t="shared" si="0"/>
        <v>-1000849.5447243643</v>
      </c>
      <c r="P31" s="268" t="s">
        <v>892</v>
      </c>
      <c r="Q31" s="272">
        <f>SUM(G85,-C85)/C89</f>
        <v>1.8948167585254392E-2</v>
      </c>
    </row>
    <row r="32" spans="1:17" ht="13.15" x14ac:dyDescent="0.25">
      <c r="A32" s="5"/>
      <c r="B32" s="5" t="s">
        <v>9</v>
      </c>
      <c r="C32" s="9">
        <f>SUM(C25:C30)</f>
        <v>4001119.8957428327</v>
      </c>
      <c r="D32" s="5"/>
      <c r="E32" s="37" t="s">
        <v>10</v>
      </c>
      <c r="F32" s="37" t="s">
        <v>848</v>
      </c>
      <c r="G32" s="38">
        <f>SUM(1,(0.8*$J$2),(0.2*$J$4),$J$6)</f>
        <v>1.0121639760275327</v>
      </c>
      <c r="H32" s="3">
        <f t="shared" si="1"/>
        <v>2019</v>
      </c>
      <c r="I32" s="24">
        <f>SUM(SUM(C83*N2,J13)*(C82^2),2*N13*(C82^2))</f>
        <v>53856660.859591767</v>
      </c>
      <c r="J32" s="24">
        <f>SUM(G67*N5,J13)*(G66^2)</f>
        <v>53832373.907978274</v>
      </c>
      <c r="K32" s="24">
        <f>SUM((M8*M12*SUM(M13,M14))*(SUM(1,0.5*J2,0.5*J4,J6)^2)*2,-2*N13*(C82^2))</f>
        <v>78299.805018105311</v>
      </c>
      <c r="L32" s="24">
        <f t="shared" si="2"/>
        <v>102586.75663159858</v>
      </c>
      <c r="M32" s="24">
        <f>SUM(SUM(J7,M10)*0.5*L32,J7*N30,SUM(J7,M9)*N31)</f>
        <v>-2661.555817593744</v>
      </c>
      <c r="N32" s="24">
        <f t="shared" si="0"/>
        <v>99925.200814004827</v>
      </c>
      <c r="P32" s="267" t="s">
        <v>891</v>
      </c>
      <c r="Q32" s="126">
        <f>SUM($C$89,-$G$89)/$C$89</f>
        <v>-3.4007040869207812E-2</v>
      </c>
    </row>
    <row r="33" spans="1:17" ht="13.15" x14ac:dyDescent="0.25">
      <c r="A33" s="5"/>
      <c r="B33" s="5"/>
      <c r="C33" s="9"/>
      <c r="D33" s="5"/>
      <c r="E33" s="5">
        <v>19</v>
      </c>
      <c r="F33" s="5" t="s">
        <v>852</v>
      </c>
      <c r="G33" s="163">
        <v>0</v>
      </c>
      <c r="H33" s="3">
        <f t="shared" si="1"/>
        <v>2020</v>
      </c>
      <c r="I33" s="24">
        <f>SUM(SUM(C83*N2,J13)*(C82^3),3*N13*(C82^3))</f>
        <v>55629930.778532617</v>
      </c>
      <c r="J33" s="24">
        <f>SUM(G67*N5,J13)*(G66^3)</f>
        <v>54487189.613700099</v>
      </c>
      <c r="K33" s="24">
        <f>SUM((M8*M12*SUM(M13,M14))*(SUM(1,0.5*J2,0.5*J4,J6)^3)*3,-3*N13*(C82^3))</f>
        <v>105911.81826265343</v>
      </c>
      <c r="L33" s="24">
        <f t="shared" si="2"/>
        <v>1248652.9830951709</v>
      </c>
      <c r="M33" s="24">
        <f>SUM(SUM(J7,M11)*0.5*L33,J7*N30,SUM(J7,M9)*N31,SUM(J7,M10)*N32)</f>
        <v>23433.979362232942</v>
      </c>
      <c r="N33" s="24">
        <f t="shared" si="0"/>
        <v>1272086.9624574038</v>
      </c>
      <c r="P33" s="267" t="s">
        <v>889</v>
      </c>
      <c r="Q33" s="126">
        <f>SUM($M$13,$M$14)/$G$89</f>
        <v>0.75271001956231653</v>
      </c>
    </row>
    <row r="34" spans="1:17" ht="13.15" x14ac:dyDescent="0.25">
      <c r="A34" s="1" t="s">
        <v>10</v>
      </c>
      <c r="B34" s="1" t="s">
        <v>101</v>
      </c>
      <c r="C34" s="4">
        <f>SUM(1,J6,J4)</f>
        <v>1.0185639760275327</v>
      </c>
      <c r="D34" s="5"/>
      <c r="E34" s="161">
        <v>20</v>
      </c>
      <c r="F34" s="5" t="s">
        <v>922</v>
      </c>
      <c r="G34" s="163">
        <v>0</v>
      </c>
      <c r="H34" s="3">
        <f t="shared" si="1"/>
        <v>2021</v>
      </c>
      <c r="I34" s="24">
        <f>SUM(SUM(C83*N2,J13)*(C82^4),4*N13*(C82^4))</f>
        <v>57457571.719442859</v>
      </c>
      <c r="J34" s="24">
        <f>SUM(G67*N5,J13)*(G66^4)</f>
        <v>55149970.481968783</v>
      </c>
      <c r="K34" s="24">
        <f>SUM((M8*M12*SUM(M13,M14))*(SUM(1,0.5*J2,0.5*J4,J6)^4)*4,-4*N13*(C82^4))</f>
        <v>125178.75981181534</v>
      </c>
      <c r="L34" s="24">
        <f t="shared" si="2"/>
        <v>2432779.9972858918</v>
      </c>
      <c r="M34" s="24">
        <f>SUM(SUM(J7,M11)*SUM(0.5*L34,N33),J7*N30,SUM(J7,M9)*N31,SUM(J7,M10)*N32)</f>
        <v>97067.922909567133</v>
      </c>
      <c r="N34" s="24">
        <f t="shared" si="0"/>
        <v>2529847.9201954589</v>
      </c>
      <c r="P34" s="269" t="s">
        <v>890</v>
      </c>
      <c r="Q34" s="273">
        <f>M13/$C$89</f>
        <v>3.8663586944334527E-2</v>
      </c>
    </row>
    <row r="35" spans="1:17" s="164" customFormat="1" ht="14.25" customHeight="1" x14ac:dyDescent="0.25">
      <c r="A35" s="161">
        <v>21</v>
      </c>
      <c r="B35" s="161" t="s">
        <v>108</v>
      </c>
      <c r="C35" s="162">
        <f>VLOOKUP(Macrogegevens!C2,'Data inkomsten'!C2:Y402,6,0)</f>
        <v>4625206</v>
      </c>
      <c r="D35" s="161"/>
      <c r="E35" s="161">
        <v>21</v>
      </c>
      <c r="F35" s="5" t="s">
        <v>854</v>
      </c>
      <c r="G35" s="163">
        <v>0</v>
      </c>
      <c r="H35" s="164">
        <f t="shared" si="1"/>
        <v>2022</v>
      </c>
      <c r="I35" s="165">
        <f>SUM(SUM(C83*N2,J13)*(C82^5),5*N13*(C82^5))</f>
        <v>59341178.819684044</v>
      </c>
      <c r="J35" s="165">
        <f>SUM(G67*N5,J13)*(G66^5)</f>
        <v>55820813.400830589</v>
      </c>
      <c r="K35" s="165">
        <f>SUM((M8*M12*SUM(M13,M14))*(SUM(1,0.5*J2,0.5*J4,J6)^5)*5,-5*N13*(C82^5))</f>
        <v>135585.85091717541</v>
      </c>
      <c r="L35" s="165">
        <f t="shared" si="2"/>
        <v>3655951.2697706297</v>
      </c>
      <c r="M35" s="165">
        <f>SUM(SUM(J7,M11)*SUM(0.5*L35,N33,N34),J7*N30,SUM(J7,M9)*N31,SUM(J7,M10)*N32)</f>
        <v>221154.54838886129</v>
      </c>
      <c r="N35" s="165">
        <f t="shared" si="0"/>
        <v>3877105.8181594908</v>
      </c>
      <c r="P35" s="269" t="s">
        <v>886</v>
      </c>
      <c r="Q35" s="273">
        <f>SUM($G$85,$G$87)/$G$89</f>
        <v>6.6469574330359313E-2</v>
      </c>
    </row>
    <row r="36" spans="1:17" s="164" customFormat="1" ht="14.25" customHeight="1" x14ac:dyDescent="0.25">
      <c r="A36" s="161">
        <v>22</v>
      </c>
      <c r="B36" s="161" t="s">
        <v>873</v>
      </c>
      <c r="C36" s="162">
        <f>VLOOKUP(Macrogegevens!C2,'Data inkomsten'!C2:Y403,7,0)</f>
        <v>3667021.341714852</v>
      </c>
      <c r="D36" s="161"/>
      <c r="E36" s="161">
        <v>22</v>
      </c>
      <c r="F36" s="5" t="s">
        <v>926</v>
      </c>
      <c r="G36" s="163">
        <v>0</v>
      </c>
      <c r="H36" s="164">
        <f t="shared" si="1"/>
        <v>2023</v>
      </c>
      <c r="I36" s="165">
        <f>SUM(SUM(C83*N2,J13)*(C82^6),5*N13*(C82^6))</f>
        <v>60782653.890911184</v>
      </c>
      <c r="J36" s="165">
        <f>SUM(G67*N5,J13)*(G66^6)</f>
        <v>56499816.436875671</v>
      </c>
      <c r="K36" s="165">
        <f>SUM((M8*M12*SUM(M13,M14))*(SUM(1,0.5*J2,0.5*J4,J6)^6)*5,-5*N13*(C82^6))</f>
        <v>113831.30152964266</v>
      </c>
      <c r="L36" s="165">
        <f t="shared" si="2"/>
        <v>4396668.7555651553</v>
      </c>
      <c r="M36" s="165">
        <f>SUM(SUM(J7,M11)*SUM(0.5*L36,N33,N34,N35),J7*N30,SUM(J7,M9)*N31,SUM(J7,M10)*N32)</f>
        <v>388929.39855060313</v>
      </c>
      <c r="N36" s="165">
        <f t="shared" si="0"/>
        <v>4785598.1541157588</v>
      </c>
      <c r="P36" s="267" t="s">
        <v>887</v>
      </c>
      <c r="Q36" s="273">
        <f>SUM($C$89,-$G$89,$G$87)/$G$89</f>
        <v>9.4531298607030516E-3</v>
      </c>
    </row>
    <row r="37" spans="1:17" ht="12.75" customHeight="1" x14ac:dyDescent="0.25">
      <c r="A37" s="5">
        <v>23</v>
      </c>
      <c r="B37" s="12"/>
      <c r="C37" s="13">
        <v>0</v>
      </c>
      <c r="D37" s="5"/>
      <c r="E37" s="5">
        <v>23</v>
      </c>
      <c r="F37" s="5" t="s">
        <v>855</v>
      </c>
      <c r="G37" s="13">
        <v>0</v>
      </c>
      <c r="H37" s="3">
        <f t="shared" si="1"/>
        <v>2024</v>
      </c>
      <c r="I37" s="24">
        <f>SUM(SUM(C83*N2,J13)*(C82^7),5*N13*(C82^7))</f>
        <v>62259144.282398202</v>
      </c>
      <c r="J37" s="24">
        <f>SUM(G67*N5,J13)*(G66^7)</f>
        <v>57187078.849573828</v>
      </c>
      <c r="K37" s="24">
        <f>SUM((M8*M12*SUM(M13,M14))*(SUM(1,0.5*J2,0.5*J4,J6)^7)*5,-5*N13*(C82^7))</f>
        <v>91183.505564139225</v>
      </c>
      <c r="L37" s="24">
        <f t="shared" si="2"/>
        <v>5163248.9383885125</v>
      </c>
      <c r="M37" s="24">
        <f>SUM(SUM(J7,M11)*SUM(0.5*L37,N33,N34,N35,N36),J7*N30,SUM(J7,M9)*N31,SUM(J7,M10)*N32)</f>
        <v>593100.48424893687</v>
      </c>
      <c r="N37" s="24">
        <f t="shared" si="0"/>
        <v>5756349.4226374496</v>
      </c>
      <c r="P37" s="270" t="s">
        <v>888</v>
      </c>
      <c r="Q37" s="274">
        <f>SUM($C$89,-$G$89,$G$87,$G$85)/$G$89</f>
        <v>3.3580977323688269E-2</v>
      </c>
    </row>
    <row r="38" spans="1:17" s="34" customFormat="1" ht="12.75" customHeight="1" x14ac:dyDescent="0.25">
      <c r="A38" s="5">
        <v>24</v>
      </c>
      <c r="B38" s="12"/>
      <c r="C38" s="13">
        <v>0</v>
      </c>
      <c r="D38" s="36"/>
      <c r="E38" s="5">
        <v>24</v>
      </c>
      <c r="F38" s="12"/>
      <c r="G38" s="13">
        <v>0</v>
      </c>
      <c r="H38" s="3">
        <f t="shared" si="1"/>
        <v>2025</v>
      </c>
      <c r="I38" s="24">
        <f>SUM(SUM(C83*N2,J13)*(C82^8),5*N13*(C82^8))</f>
        <v>63771500.562203705</v>
      </c>
      <c r="J38" s="24">
        <f>SUM(G67*N5,J13)*(G66^8)</f>
        <v>57882701.105784662</v>
      </c>
      <c r="K38" s="35">
        <f>SUM((M8*M12*SUM(M13,M14))*(SUM(1,0.5*J2,0.5*J4,J6)^8)*5,-5*N13*(C82^8))</f>
        <v>67615.451950610615</v>
      </c>
      <c r="L38" s="35">
        <f t="shared" si="2"/>
        <v>5956414.9083696539</v>
      </c>
      <c r="M38" s="35">
        <f>SUM(SUM(J7,M11)*SUM(0.5*L38,N33,N34,N35,N36,N37),J7*N30,SUM(J7,M9)*N31,SUM(J7,M10)*N32)</f>
        <v>836141.31435024377</v>
      </c>
      <c r="N38" s="35">
        <f t="shared" si="0"/>
        <v>6792556.2227198975</v>
      </c>
    </row>
    <row r="39" spans="1:17" ht="13.15" x14ac:dyDescent="0.25">
      <c r="A39" s="5"/>
      <c r="B39" s="5"/>
      <c r="C39" s="9"/>
      <c r="D39" s="5"/>
      <c r="E39" s="5">
        <v>25</v>
      </c>
      <c r="F39" s="5" t="s">
        <v>567</v>
      </c>
      <c r="G39" s="9">
        <f>SUM($G$67,-$G$11,-$G$21,-$G$30,-G33,-G34,-G35,-G36,-G37,-G38,-G53,-G64)</f>
        <v>51515937.490096748</v>
      </c>
      <c r="H39" s="3">
        <f t="shared" si="1"/>
        <v>2026</v>
      </c>
      <c r="I39" s="24">
        <f>SUM(SUM(C83*N2,J13)*(C82^9),5*N13*(C82^9))</f>
        <v>65320593.959800184</v>
      </c>
      <c r="J39" s="24">
        <f>SUM(G67*N5,J13)*(G66^9)</f>
        <v>58586784.894444264</v>
      </c>
      <c r="K39" s="24">
        <f>SUM((M8*M12*SUM(M13,M14))*(SUM(1,0.5*J2,0.5*J4,J6)^9)*5,-5*N13*(C82^9))</f>
        <v>43099.396107160486</v>
      </c>
      <c r="L39" s="24">
        <f t="shared" si="2"/>
        <v>6776908.4614630798</v>
      </c>
      <c r="M39" s="24">
        <f>SUM(SUM(J7,M11)*SUM(0.5*L39,N33,N34,N35,N36,N37,N38),J7*N30,SUM(J7,M9)*N31,SUM(J7,M10)*N32)</f>
        <v>1120652.0328212746</v>
      </c>
      <c r="N39" s="24">
        <f t="shared" si="0"/>
        <v>7897560.4942843542</v>
      </c>
    </row>
    <row r="40" spans="1:17" ht="13.15" x14ac:dyDescent="0.25">
      <c r="A40" s="5"/>
      <c r="B40" s="5" t="s">
        <v>11</v>
      </c>
      <c r="C40" s="9">
        <f>SUM(C35:C38)</f>
        <v>8292227.3417148516</v>
      </c>
      <c r="D40" s="5"/>
      <c r="E40" s="5"/>
      <c r="F40" s="5"/>
      <c r="G40" s="5"/>
    </row>
    <row r="41" spans="1:17" ht="13.15" x14ac:dyDescent="0.25">
      <c r="A41" s="5"/>
      <c r="B41" s="5"/>
      <c r="C41" s="9"/>
      <c r="D41" s="5"/>
      <c r="E41" s="5"/>
      <c r="F41" s="5" t="s">
        <v>11</v>
      </c>
      <c r="G41" s="9">
        <f>SUM(G33:G39)</f>
        <v>51515937.490096748</v>
      </c>
      <c r="H41" s="3">
        <f>IF(G41&lt;0,-G41,G41)</f>
        <v>51515937.490096748</v>
      </c>
    </row>
    <row r="42" spans="1:17" ht="13.15" x14ac:dyDescent="0.25">
      <c r="A42" s="1" t="s">
        <v>12</v>
      </c>
      <c r="B42" s="1" t="s">
        <v>98</v>
      </c>
      <c r="C42" s="4">
        <f>SUM(1,(0.2*J2),(0.8*J4),J6)</f>
        <v>1.0169639760275326</v>
      </c>
      <c r="D42" s="5"/>
      <c r="E42" s="5"/>
      <c r="F42" s="5"/>
      <c r="G42" s="5"/>
    </row>
    <row r="43" spans="1:17" ht="15" x14ac:dyDescent="0.4">
      <c r="A43" s="36">
        <v>25</v>
      </c>
      <c r="B43" s="36" t="s">
        <v>87</v>
      </c>
      <c r="C43" s="98">
        <f>VLOOKUP(Macrogegevens!C2,'Data inkomsten'!C2:Y402,22,0)*1000</f>
        <v>449000</v>
      </c>
      <c r="D43" s="5"/>
      <c r="E43" s="1" t="s">
        <v>12</v>
      </c>
      <c r="F43" s="1" t="s">
        <v>103</v>
      </c>
      <c r="G43" s="4">
        <f>SUM(1,(0.2*J2),(0.8*J4),J6)</f>
        <v>1.0169639760275326</v>
      </c>
    </row>
    <row r="44" spans="1:17" ht="15" x14ac:dyDescent="0.4">
      <c r="A44" s="5">
        <v>26</v>
      </c>
      <c r="B44" s="5" t="s">
        <v>88</v>
      </c>
      <c r="C44" s="98">
        <f>VLOOKUP(Macrogegevens!C2,'Data inkomsten'!C2:Y402,21,0)*1000</f>
        <v>470000</v>
      </c>
      <c r="D44" s="5"/>
      <c r="E44" s="11">
        <v>26</v>
      </c>
      <c r="F44" s="102" t="s">
        <v>925</v>
      </c>
      <c r="G44" s="13">
        <v>0</v>
      </c>
    </row>
    <row r="45" spans="1:17" ht="15" x14ac:dyDescent="0.4">
      <c r="A45" s="5">
        <v>27</v>
      </c>
      <c r="B45" s="5" t="s">
        <v>106</v>
      </c>
      <c r="C45" s="98">
        <v>0</v>
      </c>
      <c r="D45" s="5"/>
      <c r="E45" s="5">
        <v>27</v>
      </c>
      <c r="F45" s="102" t="s">
        <v>861</v>
      </c>
      <c r="G45" s="13">
        <v>0</v>
      </c>
    </row>
    <row r="46" spans="1:17" ht="15" x14ac:dyDescent="0.4">
      <c r="A46" s="5">
        <v>28</v>
      </c>
      <c r="B46" s="5" t="s">
        <v>105</v>
      </c>
      <c r="C46" s="78">
        <v>0</v>
      </c>
      <c r="D46" s="5"/>
      <c r="E46" s="5">
        <v>28</v>
      </c>
      <c r="F46" s="3" t="s">
        <v>860</v>
      </c>
      <c r="G46" s="13">
        <v>0</v>
      </c>
    </row>
    <row r="47" spans="1:17" ht="15" customHeight="1" x14ac:dyDescent="0.25">
      <c r="A47" s="5">
        <v>29</v>
      </c>
      <c r="B47" s="12"/>
      <c r="C47" s="33">
        <v>0</v>
      </c>
      <c r="D47" s="5"/>
      <c r="E47" s="5">
        <v>29</v>
      </c>
      <c r="F47" s="5" t="s">
        <v>924</v>
      </c>
      <c r="G47" s="13">
        <v>0</v>
      </c>
    </row>
    <row r="48" spans="1:17" ht="13.15" x14ac:dyDescent="0.25">
      <c r="A48" s="5">
        <v>30</v>
      </c>
      <c r="B48" s="12"/>
      <c r="C48" s="33">
        <v>0</v>
      </c>
      <c r="D48" s="5"/>
      <c r="E48" s="5">
        <v>30</v>
      </c>
      <c r="F48" s="3" t="s">
        <v>923</v>
      </c>
      <c r="G48" s="13">
        <v>0</v>
      </c>
    </row>
    <row r="49" spans="1:8" ht="13.15" x14ac:dyDescent="0.25">
      <c r="A49" s="5"/>
      <c r="B49" s="5"/>
      <c r="C49" s="9"/>
      <c r="D49" s="5"/>
      <c r="E49" s="5">
        <v>31</v>
      </c>
      <c r="F49" s="3" t="s">
        <v>862</v>
      </c>
      <c r="G49" s="13">
        <v>0</v>
      </c>
    </row>
    <row r="50" spans="1:8" ht="13.15" x14ac:dyDescent="0.25">
      <c r="A50" s="5"/>
      <c r="B50" s="5" t="s">
        <v>13</v>
      </c>
      <c r="C50" s="9">
        <f>SUM($C$43:$C$48)</f>
        <v>919000</v>
      </c>
      <c r="D50" s="5"/>
      <c r="E50" s="5">
        <v>32</v>
      </c>
      <c r="F50" s="12"/>
      <c r="G50" s="13">
        <v>0</v>
      </c>
    </row>
    <row r="51" spans="1:8" ht="13.15" x14ac:dyDescent="0.25">
      <c r="A51" s="5"/>
      <c r="B51" s="5"/>
      <c r="C51" s="9"/>
      <c r="D51" s="5"/>
      <c r="E51" s="5">
        <v>33</v>
      </c>
      <c r="F51" s="12"/>
      <c r="G51" s="13">
        <v>0</v>
      </c>
    </row>
    <row r="52" spans="1:8" ht="13.15" x14ac:dyDescent="0.25">
      <c r="A52" s="1" t="s">
        <v>14</v>
      </c>
      <c r="B52" s="1" t="s">
        <v>102</v>
      </c>
      <c r="C52" s="4">
        <f>SUM(1,(0.5*$J$2),(0.5*$J$4),$J$6)</f>
        <v>1.0145639760275329</v>
      </c>
      <c r="D52" s="5"/>
      <c r="E52" s="5"/>
      <c r="F52" s="5"/>
      <c r="G52" s="5"/>
    </row>
    <row r="53" spans="1:8" ht="15" x14ac:dyDescent="0.4">
      <c r="A53" s="5">
        <v>31</v>
      </c>
      <c r="B53" s="238" t="s">
        <v>89</v>
      </c>
      <c r="C53" s="92">
        <f>VLOOKUP(Macrogegevens!$C$2,'Data inkomsten'!$C$2:$Y$402,20,0)*1000</f>
        <v>130000</v>
      </c>
      <c r="D53" s="5"/>
      <c r="E53" s="5"/>
      <c r="F53" s="5" t="s">
        <v>13</v>
      </c>
      <c r="G53" s="9">
        <f>SUM(G44:G51)</f>
        <v>0</v>
      </c>
    </row>
    <row r="54" spans="1:8" ht="15" x14ac:dyDescent="0.4">
      <c r="A54" s="5">
        <v>32</v>
      </c>
      <c r="B54" s="238" t="s">
        <v>128</v>
      </c>
      <c r="C54" s="79">
        <v>0</v>
      </c>
      <c r="D54" s="5"/>
      <c r="E54" s="5"/>
      <c r="F54" s="5"/>
      <c r="G54" s="5"/>
    </row>
    <row r="55" spans="1:8" ht="13.15" x14ac:dyDescent="0.25">
      <c r="A55" s="5">
        <v>33</v>
      </c>
      <c r="B55" s="238" t="s">
        <v>884</v>
      </c>
      <c r="C55" s="22">
        <f>VLOOKUP(Macrogegevens!$C$2,'Data inkomsten'!$C$2:$Y$402,5,0)</f>
        <v>385036.7</v>
      </c>
      <c r="D55" s="5"/>
      <c r="E55" s="1" t="s">
        <v>14</v>
      </c>
      <c r="F55" s="1" t="s">
        <v>107</v>
      </c>
      <c r="G55" s="4">
        <f>SUM(1,J2:J3)</f>
        <v>1.0273859999999999</v>
      </c>
    </row>
    <row r="56" spans="1:8" ht="13.15" x14ac:dyDescent="0.25">
      <c r="A56" s="5">
        <v>34</v>
      </c>
      <c r="B56" s="12"/>
      <c r="C56" s="13">
        <v>0</v>
      </c>
      <c r="D56" s="5"/>
      <c r="E56" s="5">
        <v>34</v>
      </c>
      <c r="F56" s="5" t="s">
        <v>851</v>
      </c>
      <c r="G56" s="13">
        <v>0</v>
      </c>
    </row>
    <row r="57" spans="1:8" x14ac:dyDescent="0.2">
      <c r="A57" s="5">
        <v>35</v>
      </c>
      <c r="B57" s="12"/>
      <c r="C57" s="13">
        <v>0</v>
      </c>
      <c r="D57" s="5"/>
      <c r="E57" s="5">
        <v>35</v>
      </c>
      <c r="F57" s="5" t="s">
        <v>849</v>
      </c>
      <c r="G57" s="13">
        <v>0</v>
      </c>
    </row>
    <row r="58" spans="1:8" x14ac:dyDescent="0.2">
      <c r="A58" s="5">
        <v>36</v>
      </c>
      <c r="B58" s="5" t="s">
        <v>568</v>
      </c>
      <c r="C58" s="9">
        <f>SUM(C83,-C6,-C22,-C32,-C40,-C50,-C53,-C54,-C55,-C56,C57,-C66,-C73,-C80)</f>
        <v>3470163.3133735405</v>
      </c>
      <c r="D58" s="5"/>
      <c r="E58" s="5">
        <v>36</v>
      </c>
      <c r="F58" s="5" t="s">
        <v>858</v>
      </c>
      <c r="G58" s="13">
        <v>0</v>
      </c>
    </row>
    <row r="59" spans="1:8" x14ac:dyDescent="0.2">
      <c r="A59" s="5"/>
      <c r="B59" s="5"/>
      <c r="C59" s="9"/>
      <c r="D59" s="5"/>
      <c r="E59" s="5">
        <v>37</v>
      </c>
      <c r="F59" s="5" t="s">
        <v>859</v>
      </c>
      <c r="G59" s="13">
        <v>0</v>
      </c>
    </row>
    <row r="60" spans="1:8" x14ac:dyDescent="0.2">
      <c r="A60" s="5"/>
      <c r="B60" s="5" t="s">
        <v>16</v>
      </c>
      <c r="C60" s="9">
        <f>SUM(C54:C58)</f>
        <v>3855200.0133735407</v>
      </c>
      <c r="D60" s="5"/>
      <c r="E60" s="5">
        <v>38</v>
      </c>
      <c r="F60" s="5" t="s">
        <v>857</v>
      </c>
      <c r="G60" s="13">
        <v>0</v>
      </c>
      <c r="H60" s="3">
        <f>IF(C60&lt;0,-C60,C60)</f>
        <v>3855200.0133735407</v>
      </c>
    </row>
    <row r="61" spans="1:8" x14ac:dyDescent="0.2">
      <c r="A61" s="5"/>
      <c r="B61" s="5"/>
      <c r="C61" s="9"/>
      <c r="D61" s="5"/>
      <c r="E61" s="5">
        <v>39</v>
      </c>
      <c r="F61" s="5" t="s">
        <v>856</v>
      </c>
      <c r="G61" s="13">
        <v>0</v>
      </c>
    </row>
    <row r="62" spans="1:8" x14ac:dyDescent="0.2">
      <c r="A62" s="1" t="s">
        <v>15</v>
      </c>
      <c r="B62" s="1" t="s">
        <v>119</v>
      </c>
      <c r="C62" s="4">
        <f>SUM(1,(0.8*J2),(0.2*J4),J6)</f>
        <v>1.0121639760275327</v>
      </c>
      <c r="E62" s="5">
        <v>40</v>
      </c>
      <c r="F62" s="12"/>
      <c r="G62" s="13">
        <v>0</v>
      </c>
    </row>
    <row r="63" spans="1:8" ht="15" x14ac:dyDescent="0.35">
      <c r="A63" s="11">
        <v>37</v>
      </c>
      <c r="B63" s="12"/>
      <c r="C63" s="13">
        <v>0</v>
      </c>
      <c r="E63" s="1"/>
      <c r="F63" s="5"/>
      <c r="G63" s="28"/>
    </row>
    <row r="64" spans="1:8" x14ac:dyDescent="0.2">
      <c r="A64" s="11">
        <v>38</v>
      </c>
      <c r="B64" s="12"/>
      <c r="C64" s="13">
        <v>0</v>
      </c>
      <c r="E64" s="5"/>
      <c r="F64" s="5" t="s">
        <v>16</v>
      </c>
      <c r="G64" s="9">
        <f>SUM(G56:G62)</f>
        <v>0</v>
      </c>
    </row>
    <row r="65" spans="1:7" x14ac:dyDescent="0.2">
      <c r="A65" s="11"/>
      <c r="B65" s="5"/>
      <c r="C65" s="9"/>
      <c r="E65" s="5"/>
      <c r="F65" s="5"/>
      <c r="G65" s="5"/>
    </row>
    <row r="66" spans="1:7" x14ac:dyDescent="0.2">
      <c r="A66" s="11"/>
      <c r="B66" s="5" t="s">
        <v>17</v>
      </c>
      <c r="C66" s="9">
        <f>SUM(C63:C64)</f>
        <v>0</v>
      </c>
      <c r="E66" s="1" t="s">
        <v>669</v>
      </c>
      <c r="F66" s="5"/>
      <c r="G66" s="45">
        <f>SUM(($G$2*$G$11),($G$13*$G$21),($G$23*$G$30),($G$32*$H$41),($G$43*$G$53),($G$55*$G$64))/SUM($G$11,$G$21,$G$30,$H$41,$G$53,$G$64)</f>
        <v>1.0121639760275327</v>
      </c>
    </row>
    <row r="67" spans="1:7" ht="15" x14ac:dyDescent="0.35">
      <c r="A67" s="11"/>
      <c r="B67" s="5"/>
      <c r="C67" s="9"/>
      <c r="E67" s="1" t="s">
        <v>676</v>
      </c>
      <c r="F67" s="5"/>
      <c r="G67" s="28">
        <f>SUM($G$89,-$G$85,-$G$86,-$G$87,-$G$88)</f>
        <v>51515937.490096748</v>
      </c>
    </row>
    <row r="68" spans="1:7" x14ac:dyDescent="0.2">
      <c r="A68" s="1" t="s">
        <v>20</v>
      </c>
      <c r="B68" s="1" t="s">
        <v>869</v>
      </c>
      <c r="C68" s="4">
        <f>SUM(1,J2,J8,SUM(-J5,J6))</f>
        <v>1.0366999760275328</v>
      </c>
      <c r="E68" s="5"/>
      <c r="F68" s="5"/>
      <c r="G68" s="5"/>
    </row>
    <row r="69" spans="1:7" x14ac:dyDescent="0.2">
      <c r="A69" s="5">
        <v>39</v>
      </c>
      <c r="B69" s="5" t="s">
        <v>86</v>
      </c>
      <c r="C69" s="22">
        <f>VLOOKUP(Macrogegevens!C2,'Data inkomsten'!C2:Y402,3,0)</f>
        <v>1986040</v>
      </c>
      <c r="E69" s="5"/>
      <c r="F69" s="5"/>
      <c r="G69" s="5"/>
    </row>
    <row r="70" spans="1:7" x14ac:dyDescent="0.2">
      <c r="A70" s="5">
        <v>40</v>
      </c>
      <c r="B70" s="5" t="s">
        <v>874</v>
      </c>
      <c r="C70" s="160">
        <f>SUM(VLOOKUP(Macrogegevens!$C$2,'Data inkomsten'!$C$2:$Y$402,4,0),-VLOOKUP(Macrogegevens!C2,'Data inkomsten'!C2:Y402,7,0))</f>
        <v>7604345.6582851484</v>
      </c>
      <c r="E70" s="5"/>
      <c r="F70" s="5"/>
      <c r="G70" s="5"/>
    </row>
    <row r="71" spans="1:7" x14ac:dyDescent="0.2">
      <c r="A71" s="5">
        <v>41</v>
      </c>
      <c r="B71" s="12"/>
      <c r="C71" s="13">
        <v>0</v>
      </c>
      <c r="E71" s="5"/>
      <c r="F71" s="5"/>
      <c r="G71" s="5"/>
    </row>
    <row r="72" spans="1:7" x14ac:dyDescent="0.2">
      <c r="A72" s="5"/>
      <c r="B72" s="5"/>
      <c r="C72" s="9"/>
      <c r="E72" s="5"/>
      <c r="F72" s="5"/>
      <c r="G72" s="5"/>
    </row>
    <row r="73" spans="1:7" x14ac:dyDescent="0.2">
      <c r="A73" s="5"/>
      <c r="B73" s="5" t="s">
        <v>21</v>
      </c>
      <c r="C73" s="9">
        <f>SUM(C69:C71)</f>
        <v>9590385.6582851484</v>
      </c>
      <c r="E73" s="5"/>
      <c r="F73" s="5"/>
      <c r="G73" s="5"/>
    </row>
    <row r="74" spans="1:7" x14ac:dyDescent="0.2">
      <c r="A74" s="5"/>
      <c r="B74" s="5"/>
      <c r="C74" s="9"/>
      <c r="E74" s="5"/>
      <c r="F74" s="5"/>
      <c r="G74" s="5"/>
    </row>
    <row r="75" spans="1:7" x14ac:dyDescent="0.2">
      <c r="A75" s="1" t="s">
        <v>90</v>
      </c>
      <c r="B75" s="1" t="s">
        <v>97</v>
      </c>
      <c r="C75" s="10">
        <f>SUM(1,J2,J3,J9)</f>
        <v>1.0467917004244995</v>
      </c>
      <c r="E75" s="5"/>
      <c r="F75" s="5"/>
      <c r="G75" s="5"/>
    </row>
    <row r="76" spans="1:7" x14ac:dyDescent="0.2">
      <c r="A76" s="5">
        <v>42</v>
      </c>
      <c r="B76" s="5" t="s">
        <v>723</v>
      </c>
      <c r="C76" s="22">
        <f>SUM(Macrogegevens!X47,Macrogegevens!X48)</f>
        <v>1309719.9574618926</v>
      </c>
    </row>
    <row r="77" spans="1:7" x14ac:dyDescent="0.2">
      <c r="A77" s="5">
        <v>43</v>
      </c>
      <c r="B77" s="5" t="s">
        <v>132</v>
      </c>
      <c r="C77" s="13">
        <f>VLOOKUP(Macrogegevens!C2,'Data inkomsten'!C2:Y402,12,0)*1000</f>
        <v>0</v>
      </c>
    </row>
    <row r="78" spans="1:7" x14ac:dyDescent="0.2">
      <c r="A78" s="5">
        <v>44</v>
      </c>
      <c r="B78" s="12"/>
      <c r="C78" s="13">
        <v>0</v>
      </c>
    </row>
    <row r="79" spans="1:7" x14ac:dyDescent="0.2">
      <c r="A79" s="5"/>
      <c r="B79" s="5"/>
      <c r="C79" s="9"/>
    </row>
    <row r="80" spans="1:7" x14ac:dyDescent="0.2">
      <c r="A80" s="5"/>
      <c r="B80" s="5" t="s">
        <v>91</v>
      </c>
      <c r="C80" s="9">
        <f>SUM(C76:C78)</f>
        <v>1309719.9574618926</v>
      </c>
    </row>
    <row r="81" spans="1:9" x14ac:dyDescent="0.2">
      <c r="A81" s="5"/>
      <c r="B81" s="11"/>
      <c r="C81" s="9"/>
    </row>
    <row r="82" spans="1:9" x14ac:dyDescent="0.2">
      <c r="A82" s="1" t="s">
        <v>19</v>
      </c>
      <c r="B82" s="5"/>
      <c r="C82" s="45">
        <f>SUM((C2*C6),(C8*C22),(C24*C32),(C34*C40),(C42*C50),(C52*H60),(C68*C73),(C75*C80))/SUM(C6,C22,C32,C40,C50,H60,C73,C80)</f>
        <v>1.0242913116978558</v>
      </c>
    </row>
    <row r="83" spans="1:9" x14ac:dyDescent="0.2">
      <c r="A83" s="1" t="s">
        <v>671</v>
      </c>
      <c r="B83" s="5"/>
      <c r="C83" s="9">
        <f>SUM(C89,-C85,-C86,-C87,-C88)</f>
        <v>53123235</v>
      </c>
    </row>
    <row r="84" spans="1:9" x14ac:dyDescent="0.2">
      <c r="A84" s="1"/>
      <c r="B84" s="5"/>
      <c r="C84" s="9"/>
    </row>
    <row r="85" spans="1:9" x14ac:dyDescent="0.2">
      <c r="A85" s="226" t="s">
        <v>672</v>
      </c>
      <c r="B85" s="227"/>
      <c r="C85" s="228">
        <f>'Investeringen &amp; financiering'!T54</f>
        <v>335765.00000000006</v>
      </c>
      <c r="E85" s="226" t="s">
        <v>677</v>
      </c>
      <c r="F85" s="234"/>
      <c r="G85" s="235">
        <f>SUM(-'Investeringen &amp; financiering'!S6,-'Investeringen &amp; financiering'!S54,-H85,H88)</f>
        <v>1396085.5099032505</v>
      </c>
      <c r="H85" s="31">
        <f>J7*0.5*SUM(Balansprognose!G35,-Balansprognose!G36,-C85,-C86,-C87,G86,G87,-'Investeringen &amp; financiering'!S6,-'Investeringen &amp; financiering'!S54)</f>
        <v>7670.9270000000024</v>
      </c>
      <c r="I85" s="24"/>
    </row>
    <row r="86" spans="1:9" x14ac:dyDescent="0.2">
      <c r="A86" s="229" t="s">
        <v>674</v>
      </c>
      <c r="B86" s="155"/>
      <c r="C86" s="230">
        <f>'Investeringen &amp; financiering'!E7</f>
        <v>2500000</v>
      </c>
      <c r="E86" s="229" t="s">
        <v>678</v>
      </c>
      <c r="F86" s="155"/>
      <c r="G86" s="236">
        <f>Balansprognose!C45</f>
        <v>2500000</v>
      </c>
      <c r="H86" s="31">
        <f>J7*0.5*SUM(C83,-G67)</f>
        <v>7634.6631720404475</v>
      </c>
    </row>
    <row r="87" spans="1:9" x14ac:dyDescent="0.2">
      <c r="A87" s="229" t="s">
        <v>673</v>
      </c>
      <c r="B87" s="155"/>
      <c r="C87" s="230">
        <f>SUM(Balansprognose!C39,Balansprognose!C40)</f>
        <v>0</v>
      </c>
      <c r="E87" s="229" t="s">
        <v>679</v>
      </c>
      <c r="F87" s="155"/>
      <c r="G87" s="236">
        <f>SUM(Balansprognose!C35,Balansprognose!C36)</f>
        <v>2449977</v>
      </c>
      <c r="H87" s="31">
        <f>SUM(H85,-H86)</f>
        <v>36.263827959554874</v>
      </c>
      <c r="I87" s="223"/>
    </row>
    <row r="88" spans="1:9" x14ac:dyDescent="0.2">
      <c r="A88" s="231" t="s">
        <v>682</v>
      </c>
      <c r="B88" s="232"/>
      <c r="C88" s="237">
        <f>Balansprognose!C44</f>
        <v>0</v>
      </c>
      <c r="E88" s="231" t="s">
        <v>680</v>
      </c>
      <c r="F88" s="232"/>
      <c r="G88" s="233">
        <f>Balansprognose!G37</f>
        <v>0</v>
      </c>
      <c r="H88" s="217">
        <f>J7*0.5*H85</f>
        <v>36.436903250000007</v>
      </c>
    </row>
    <row r="89" spans="1:9" x14ac:dyDescent="0.2">
      <c r="A89" s="2" t="s">
        <v>681</v>
      </c>
      <c r="C89" s="14">
        <f>Balansprognose!G35</f>
        <v>55959000</v>
      </c>
      <c r="E89" s="2" t="s">
        <v>675</v>
      </c>
      <c r="G89" s="14">
        <f>Balansprognose!G36</f>
        <v>57862000</v>
      </c>
      <c r="H89" s="239">
        <f>SUM(H87,-H88)/C89</f>
        <v>-3.0928946272294642E-9</v>
      </c>
    </row>
    <row r="90" spans="1:9" x14ac:dyDescent="0.2">
      <c r="A90" s="1"/>
      <c r="C90" s="117"/>
    </row>
    <row r="91" spans="1:9" x14ac:dyDescent="0.2">
      <c r="C91" s="8"/>
    </row>
    <row r="92" spans="1:9" x14ac:dyDescent="0.2">
      <c r="A92" s="1"/>
      <c r="C92" s="14"/>
    </row>
    <row r="93" spans="1:9" x14ac:dyDescent="0.2">
      <c r="A93" s="2"/>
      <c r="C93" s="14"/>
    </row>
  </sheetData>
  <sheetProtection algorithmName="SHA-512" hashValue="+JDzGKqbG7pzPmWUIwPbO4tSQGKgl/chITmQApNcR7aa/Mh6vyfstY3ScaHk01wEeXjR4F8bnyQYESvP7dhqgg==" saltValue="Kk3aM/NgHwpuyPNKH6MWqQ==" spinCount="100000" sheet="1" objects="1" scenarios="1" selectLockedCells="1"/>
  <customSheetViews>
    <customSheetView guid="{B41B624D-DA5C-4FA3-85F1-D5B8087B6A65}" topLeftCell="C1">
      <selection activeCell="J15" sqref="J15"/>
      <pageMargins left="0.7" right="0.7" top="0.75" bottom="0.75" header="0.3" footer="0.3"/>
      <pageSetup paperSize="9" orientation="portrait" r:id="rId1"/>
    </customSheetView>
  </customSheetViews>
  <mergeCells count="1">
    <mergeCell ref="A1:B1"/>
  </mergeCell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67"/>
  <sheetViews>
    <sheetView topLeftCell="A261" workbookViewId="0">
      <selection activeCell="I391" sqref="I391"/>
    </sheetView>
  </sheetViews>
  <sheetFormatPr defaultRowHeight="12.75" x14ac:dyDescent="0.2"/>
  <cols>
    <col min="1" max="1" width="10.7109375" bestFit="1" customWidth="1"/>
    <col min="2" max="2" width="14.140625" bestFit="1" customWidth="1"/>
    <col min="3" max="3" width="28.85546875" bestFit="1" customWidth="1"/>
    <col min="4" max="4" width="13.28515625" bestFit="1" customWidth="1"/>
    <col min="5" max="5" width="20.140625" bestFit="1" customWidth="1"/>
    <col min="6" max="6" width="20.28515625" bestFit="1" customWidth="1"/>
    <col min="7" max="7" width="22.140625" bestFit="1" customWidth="1"/>
    <col min="8" max="8" width="22.28515625" bestFit="1" customWidth="1"/>
    <col min="9" max="9" width="22.28515625" style="89" bestFit="1" customWidth="1"/>
    <col min="10" max="13" width="20.42578125" style="89" bestFit="1" customWidth="1"/>
    <col min="14" max="14" width="19.7109375" style="89" bestFit="1" customWidth="1"/>
    <col min="15" max="15" width="23" style="113" bestFit="1" customWidth="1"/>
    <col min="16" max="16" width="8.7109375" style="256" customWidth="1"/>
    <col min="17" max="19" width="6.28515625" style="258" bestFit="1" customWidth="1"/>
    <col min="20" max="20" width="6.28515625" style="259" bestFit="1" customWidth="1"/>
    <col min="21" max="26" width="6.28515625" style="258" bestFit="1" customWidth="1"/>
  </cols>
  <sheetData>
    <row r="1" spans="1:26" ht="13.15" x14ac:dyDescent="0.25">
      <c r="A1" s="99" t="s">
        <v>685</v>
      </c>
      <c r="B1" s="99" t="s">
        <v>686</v>
      </c>
      <c r="C1" s="139" t="s">
        <v>713</v>
      </c>
      <c r="D1" s="91" t="s">
        <v>814</v>
      </c>
      <c r="E1" s="91" t="s">
        <v>815</v>
      </c>
      <c r="F1" s="91" t="s">
        <v>816</v>
      </c>
      <c r="G1" s="136" t="s">
        <v>817</v>
      </c>
      <c r="H1" s="91" t="s">
        <v>818</v>
      </c>
      <c r="I1" s="91" t="s">
        <v>819</v>
      </c>
      <c r="J1" s="91" t="s">
        <v>820</v>
      </c>
      <c r="K1" s="100" t="s">
        <v>821</v>
      </c>
      <c r="L1" s="100" t="s">
        <v>822</v>
      </c>
      <c r="M1" s="91" t="s">
        <v>823</v>
      </c>
      <c r="N1" s="91" t="s">
        <v>824</v>
      </c>
      <c r="O1" s="91" t="s">
        <v>825</v>
      </c>
      <c r="P1" s="260">
        <v>2016</v>
      </c>
      <c r="Q1" s="262" t="s">
        <v>802</v>
      </c>
      <c r="R1" s="262" t="s">
        <v>803</v>
      </c>
      <c r="S1" s="262" t="s">
        <v>804</v>
      </c>
      <c r="T1" s="262" t="s">
        <v>805</v>
      </c>
      <c r="U1" s="262" t="s">
        <v>806</v>
      </c>
      <c r="V1" s="262" t="s">
        <v>807</v>
      </c>
      <c r="W1" s="262" t="s">
        <v>808</v>
      </c>
      <c r="X1" s="262" t="s">
        <v>809</v>
      </c>
      <c r="Y1" s="262" t="s">
        <v>810</v>
      </c>
      <c r="Z1" s="262" t="s">
        <v>811</v>
      </c>
    </row>
    <row r="2" spans="1:26" ht="13.15" x14ac:dyDescent="0.25">
      <c r="A2" t="s">
        <v>689</v>
      </c>
      <c r="C2" s="139" t="s">
        <v>161</v>
      </c>
      <c r="D2" s="95">
        <f>(SUM(Z2*1000,-P2)/10)/P2</f>
        <v>-2.6860239724672656E-3</v>
      </c>
      <c r="E2" t="s">
        <v>173</v>
      </c>
      <c r="F2" s="95">
        <f>SUM(J2,-M2)/SUM(J2,K2,L2,M2)</f>
        <v>1.9405700424499697E-2</v>
      </c>
      <c r="G2" s="136">
        <f t="shared" ref="G2:G65" si="0">N2/I2</f>
        <v>51.558007615199315</v>
      </c>
      <c r="H2" s="187">
        <v>25279</v>
      </c>
      <c r="I2" s="89">
        <v>25738</v>
      </c>
      <c r="J2" s="89">
        <v>2150</v>
      </c>
      <c r="K2" s="89">
        <v>2080</v>
      </c>
      <c r="L2" s="89">
        <v>2025</v>
      </c>
      <c r="M2" s="89">
        <v>1990</v>
      </c>
      <c r="N2" s="89">
        <v>1327000</v>
      </c>
      <c r="O2" s="113" t="s">
        <v>161</v>
      </c>
      <c r="P2" s="256">
        <v>25279</v>
      </c>
      <c r="Q2" s="258">
        <v>25.5</v>
      </c>
      <c r="R2" s="258">
        <v>25.5</v>
      </c>
      <c r="S2" s="258">
        <v>25.4</v>
      </c>
      <c r="T2" s="258">
        <v>25.3</v>
      </c>
      <c r="U2" s="258">
        <v>25.1</v>
      </c>
      <c r="V2" s="258">
        <v>25</v>
      </c>
      <c r="W2" s="258">
        <v>24.9</v>
      </c>
      <c r="X2" s="258">
        <v>24.8</v>
      </c>
      <c r="Y2" s="258">
        <v>24.7</v>
      </c>
      <c r="Z2" s="258">
        <v>24.6</v>
      </c>
    </row>
    <row r="3" spans="1:26" ht="13.15" x14ac:dyDescent="0.25">
      <c r="A3" t="s">
        <v>690</v>
      </c>
      <c r="C3" s="139" t="s">
        <v>434</v>
      </c>
      <c r="D3" s="95">
        <f t="shared" ref="D3:D66" si="1">(SUM(Z3*1000,-P3)/10)/P3</f>
        <v>3.2899770466717675E-3</v>
      </c>
      <c r="E3" t="s">
        <v>578</v>
      </c>
      <c r="F3" s="95">
        <f>SUM(J3,-M3)/SUM(J3,K3,L3,M3)</f>
        <v>2.6785714285714284E-2</v>
      </c>
      <c r="G3" s="136">
        <f t="shared" si="0"/>
        <v>746.09773315554162</v>
      </c>
      <c r="H3" s="187">
        <v>13070</v>
      </c>
      <c r="I3" s="89">
        <v>12749</v>
      </c>
      <c r="J3" s="89">
        <v>1480</v>
      </c>
      <c r="K3" s="89">
        <v>1425</v>
      </c>
      <c r="L3" s="89">
        <v>1365</v>
      </c>
      <c r="M3" s="89">
        <v>1330</v>
      </c>
      <c r="N3" s="89">
        <v>9512000</v>
      </c>
      <c r="O3" s="113" t="s">
        <v>434</v>
      </c>
      <c r="P3" s="256">
        <v>13070</v>
      </c>
      <c r="Q3" s="258">
        <v>13</v>
      </c>
      <c r="R3" s="258">
        <v>13</v>
      </c>
      <c r="S3" s="258">
        <v>13.1</v>
      </c>
      <c r="T3" s="258">
        <v>13.1</v>
      </c>
      <c r="U3" s="258">
        <v>13.2</v>
      </c>
      <c r="V3" s="258">
        <v>13.3</v>
      </c>
      <c r="W3" s="258">
        <v>13.3</v>
      </c>
      <c r="X3" s="258">
        <v>13.4</v>
      </c>
      <c r="Y3" s="258">
        <v>13.4</v>
      </c>
      <c r="Z3" s="258">
        <v>13.5</v>
      </c>
    </row>
    <row r="4" spans="1:26" ht="13.15" x14ac:dyDescent="0.25">
      <c r="A4" t="s">
        <v>691</v>
      </c>
      <c r="C4" s="139" t="s">
        <v>319</v>
      </c>
      <c r="D4" s="95">
        <f t="shared" si="1"/>
        <v>4.1998597922375995E-3</v>
      </c>
      <c r="E4" t="s">
        <v>578</v>
      </c>
      <c r="F4" s="95">
        <f>SUM(J4,-M4)/SUM(J4,K4,L4,M4)</f>
        <v>2.5520219866509618E-2</v>
      </c>
      <c r="G4" s="136">
        <f t="shared" si="0"/>
        <v>629.29785272032666</v>
      </c>
      <c r="H4" s="187">
        <v>31382</v>
      </c>
      <c r="I4" s="89">
        <v>30364</v>
      </c>
      <c r="J4" s="89">
        <v>3355</v>
      </c>
      <c r="K4" s="89">
        <v>3260</v>
      </c>
      <c r="L4" s="89">
        <v>3090</v>
      </c>
      <c r="M4" s="89">
        <v>3030</v>
      </c>
      <c r="N4" s="89">
        <v>19108000</v>
      </c>
      <c r="O4" s="113" t="s">
        <v>319</v>
      </c>
      <c r="P4" s="256">
        <v>31382</v>
      </c>
      <c r="Q4" s="258">
        <v>31.9</v>
      </c>
      <c r="R4" s="258">
        <v>32.299999999999997</v>
      </c>
      <c r="S4" s="258">
        <v>32.6</v>
      </c>
      <c r="T4" s="258">
        <v>32.799999999999997</v>
      </c>
      <c r="U4" s="258">
        <v>33</v>
      </c>
      <c r="V4" s="258">
        <v>33.1</v>
      </c>
      <c r="W4" s="258">
        <v>32.9</v>
      </c>
      <c r="X4" s="258">
        <v>32.700000000000003</v>
      </c>
      <c r="Y4" s="258">
        <v>32.700000000000003</v>
      </c>
      <c r="Z4" s="258">
        <v>32.700000000000003</v>
      </c>
    </row>
    <row r="5" spans="1:26" ht="13.15" x14ac:dyDescent="0.25">
      <c r="A5" t="s">
        <v>692</v>
      </c>
      <c r="C5" s="139" t="s">
        <v>241</v>
      </c>
      <c r="D5" s="95">
        <f t="shared" si="1"/>
        <v>-6.0998151571164507E-3</v>
      </c>
      <c r="E5" t="s">
        <v>173</v>
      </c>
      <c r="F5" s="95">
        <f t="shared" ref="F5:F68" si="2">SUM(J5,-M5)/SUM(J5,K5,L5,M5)</f>
        <v>2.1235521235521235E-2</v>
      </c>
      <c r="G5" s="136">
        <f t="shared" si="0"/>
        <v>-171.10419337117744</v>
      </c>
      <c r="H5" s="187">
        <v>27050</v>
      </c>
      <c r="I5" s="89">
        <v>27305</v>
      </c>
      <c r="J5" s="89">
        <v>2030</v>
      </c>
      <c r="K5" s="89">
        <v>1985</v>
      </c>
      <c r="L5" s="89">
        <v>1890</v>
      </c>
      <c r="M5" s="89">
        <v>1865</v>
      </c>
      <c r="N5" s="89">
        <v>-4672000</v>
      </c>
      <c r="O5" s="113" t="s">
        <v>241</v>
      </c>
      <c r="P5" s="256">
        <v>27050</v>
      </c>
      <c r="Q5" s="258">
        <v>26.7</v>
      </c>
      <c r="R5" s="258">
        <v>26.7</v>
      </c>
      <c r="S5" s="258">
        <v>26.6</v>
      </c>
      <c r="T5" s="258">
        <v>26.4</v>
      </c>
      <c r="U5" s="258">
        <v>26.3</v>
      </c>
      <c r="V5" s="258">
        <v>26.1</v>
      </c>
      <c r="W5" s="258">
        <v>25.9</v>
      </c>
      <c r="X5" s="258">
        <v>25.8</v>
      </c>
      <c r="Y5" s="258">
        <v>25.6</v>
      </c>
      <c r="Z5" s="258">
        <v>25.4</v>
      </c>
    </row>
    <row r="6" spans="1:26" ht="13.15" x14ac:dyDescent="0.25">
      <c r="A6" t="s">
        <v>693</v>
      </c>
      <c r="C6" s="139" t="s">
        <v>197</v>
      </c>
      <c r="D6" s="95">
        <f t="shared" si="1"/>
        <v>-3.369900336990034E-4</v>
      </c>
      <c r="E6" t="s">
        <v>173</v>
      </c>
      <c r="F6" s="95">
        <f t="shared" si="2"/>
        <v>2.2687609075043629E-2</v>
      </c>
      <c r="G6" s="136">
        <f t="shared" si="0"/>
        <v>1205.4038660069061</v>
      </c>
      <c r="H6" s="187">
        <v>27894</v>
      </c>
      <c r="I6" s="89">
        <v>28091</v>
      </c>
      <c r="J6" s="89">
        <v>2260</v>
      </c>
      <c r="K6" s="89">
        <v>2170</v>
      </c>
      <c r="L6" s="89">
        <v>2100</v>
      </c>
      <c r="M6" s="89">
        <v>2065</v>
      </c>
      <c r="N6" s="89">
        <v>33861000</v>
      </c>
      <c r="O6" s="113" t="s">
        <v>197</v>
      </c>
      <c r="P6" s="256">
        <v>27894</v>
      </c>
      <c r="Q6" s="258">
        <v>28</v>
      </c>
      <c r="R6" s="258">
        <v>28</v>
      </c>
      <c r="S6" s="258">
        <v>28</v>
      </c>
      <c r="T6" s="258">
        <v>28</v>
      </c>
      <c r="U6" s="258">
        <v>28</v>
      </c>
      <c r="V6" s="258">
        <v>28</v>
      </c>
      <c r="W6" s="258">
        <v>27.9</v>
      </c>
      <c r="X6" s="258">
        <v>27.9</v>
      </c>
      <c r="Y6" s="258">
        <v>27.8</v>
      </c>
      <c r="Z6" s="258">
        <v>27.8</v>
      </c>
    </row>
    <row r="7" spans="1:26" ht="13.15" x14ac:dyDescent="0.25">
      <c r="A7" t="s">
        <v>694</v>
      </c>
      <c r="C7" s="139" t="s">
        <v>364</v>
      </c>
      <c r="D7" s="95">
        <f t="shared" si="1"/>
        <v>4.2468148888333751E-4</v>
      </c>
      <c r="E7" t="s">
        <v>578</v>
      </c>
      <c r="F7" s="95">
        <f t="shared" si="2"/>
        <v>1.8106995884773661E-2</v>
      </c>
      <c r="G7" s="136">
        <f t="shared" si="0"/>
        <v>1621.6674372014179</v>
      </c>
      <c r="H7" s="187">
        <v>20015</v>
      </c>
      <c r="I7" s="89">
        <v>19467</v>
      </c>
      <c r="J7" s="89">
        <v>1585</v>
      </c>
      <c r="K7" s="89">
        <v>1520</v>
      </c>
      <c r="L7" s="89">
        <v>1495</v>
      </c>
      <c r="M7" s="89">
        <v>1475</v>
      </c>
      <c r="N7" s="89">
        <v>31569000</v>
      </c>
      <c r="O7" s="113" t="s">
        <v>364</v>
      </c>
      <c r="P7" s="256">
        <v>20015</v>
      </c>
      <c r="Q7" s="258">
        <v>20</v>
      </c>
      <c r="R7" s="258">
        <v>20.100000000000001</v>
      </c>
      <c r="S7" s="258">
        <v>20.2</v>
      </c>
      <c r="T7" s="258">
        <v>20.100000000000001</v>
      </c>
      <c r="U7" s="258">
        <v>20.100000000000001</v>
      </c>
      <c r="V7" s="258">
        <v>20.100000000000001</v>
      </c>
      <c r="W7" s="258">
        <v>20.100000000000001</v>
      </c>
      <c r="X7" s="258">
        <v>20.100000000000001</v>
      </c>
      <c r="Y7" s="258">
        <v>20.100000000000001</v>
      </c>
      <c r="Z7" s="258">
        <v>20.100000000000001</v>
      </c>
    </row>
    <row r="8" spans="1:26" ht="13.15" x14ac:dyDescent="0.25">
      <c r="A8" t="s">
        <v>694</v>
      </c>
      <c r="C8" s="139" t="s">
        <v>365</v>
      </c>
      <c r="D8" s="95">
        <f t="shared" si="1"/>
        <v>-4.4053214371066671E-3</v>
      </c>
      <c r="E8" t="s">
        <v>578</v>
      </c>
      <c r="F8" s="95">
        <f t="shared" si="2"/>
        <v>2.9512697323266987E-2</v>
      </c>
      <c r="G8" s="136">
        <f t="shared" si="0"/>
        <v>1364.2762868455786</v>
      </c>
      <c r="H8" s="187">
        <v>25106</v>
      </c>
      <c r="I8" s="89">
        <v>25003</v>
      </c>
      <c r="J8" s="89">
        <v>1930</v>
      </c>
      <c r="K8" s="89">
        <v>1855</v>
      </c>
      <c r="L8" s="89">
        <v>1785</v>
      </c>
      <c r="M8" s="89">
        <v>1715</v>
      </c>
      <c r="N8" s="89">
        <v>34111000</v>
      </c>
      <c r="O8" s="113" t="s">
        <v>365</v>
      </c>
      <c r="P8" s="256">
        <v>25106</v>
      </c>
      <c r="Q8" s="258">
        <v>25</v>
      </c>
      <c r="R8" s="258">
        <v>24.9</v>
      </c>
      <c r="S8" s="258">
        <v>24.7</v>
      </c>
      <c r="T8" s="258">
        <v>24.5</v>
      </c>
      <c r="U8" s="258">
        <v>24.5</v>
      </c>
      <c r="V8" s="258">
        <v>24.6</v>
      </c>
      <c r="W8" s="258">
        <v>24.6</v>
      </c>
      <c r="X8" s="258">
        <v>24.5</v>
      </c>
      <c r="Y8" s="258">
        <v>24.2</v>
      </c>
      <c r="Z8" s="258">
        <v>24</v>
      </c>
    </row>
    <row r="9" spans="1:26" ht="13.15" x14ac:dyDescent="0.25">
      <c r="A9" t="s">
        <v>691</v>
      </c>
      <c r="C9" s="139" t="s">
        <v>320</v>
      </c>
      <c r="D9" s="95">
        <f t="shared" si="1"/>
        <v>5.6834844195247005E-3</v>
      </c>
      <c r="E9" t="s">
        <v>544</v>
      </c>
      <c r="F9" s="95">
        <f t="shared" si="2"/>
        <v>2.5591140377132594E-2</v>
      </c>
      <c r="G9" s="136">
        <f t="shared" si="0"/>
        <v>2947.0238599862473</v>
      </c>
      <c r="H9" s="89">
        <v>108437</v>
      </c>
      <c r="I9" s="89">
        <v>106161</v>
      </c>
      <c r="J9" s="89">
        <v>9100</v>
      </c>
      <c r="K9" s="89">
        <v>8840</v>
      </c>
      <c r="L9" s="89">
        <v>7225</v>
      </c>
      <c r="M9" s="89">
        <v>8245</v>
      </c>
      <c r="N9" s="89">
        <v>312859000</v>
      </c>
      <c r="O9" s="113" t="s">
        <v>320</v>
      </c>
      <c r="P9" s="256">
        <v>108437</v>
      </c>
      <c r="Q9" s="258">
        <v>108.9</v>
      </c>
      <c r="R9" s="258">
        <v>109.9</v>
      </c>
      <c r="S9" s="258">
        <v>110.7</v>
      </c>
      <c r="T9" s="258">
        <v>111.4</v>
      </c>
      <c r="U9" s="258">
        <v>112</v>
      </c>
      <c r="V9" s="258">
        <v>112.7</v>
      </c>
      <c r="W9" s="258">
        <v>113.3</v>
      </c>
      <c r="X9" s="258">
        <v>113.9</v>
      </c>
      <c r="Y9" s="258">
        <v>114.2</v>
      </c>
      <c r="Z9" s="258">
        <v>114.6</v>
      </c>
    </row>
    <row r="10" spans="1:26" ht="13.15" x14ac:dyDescent="0.25">
      <c r="A10" t="s">
        <v>695</v>
      </c>
      <c r="C10" s="139" t="s">
        <v>217</v>
      </c>
      <c r="D10" s="95">
        <f t="shared" si="1"/>
        <v>4.3180156441844747E-4</v>
      </c>
      <c r="E10" t="s">
        <v>544</v>
      </c>
      <c r="F10" s="95">
        <f t="shared" si="2"/>
        <v>1.6653236637120601E-2</v>
      </c>
      <c r="G10" s="136">
        <f t="shared" si="0"/>
        <v>3347.0319007105845</v>
      </c>
      <c r="H10" s="187">
        <v>72487</v>
      </c>
      <c r="I10" s="89">
        <v>72757</v>
      </c>
      <c r="J10" s="89">
        <v>4870</v>
      </c>
      <c r="K10" s="89">
        <v>4680</v>
      </c>
      <c r="L10" s="89">
        <v>4505</v>
      </c>
      <c r="M10" s="89">
        <v>4560</v>
      </c>
      <c r="N10" s="89">
        <v>243520000</v>
      </c>
      <c r="O10" s="113" t="s">
        <v>217</v>
      </c>
      <c r="P10" s="256">
        <v>72487</v>
      </c>
      <c r="Q10" s="258">
        <v>72.400000000000006</v>
      </c>
      <c r="R10" s="258">
        <v>72.5</v>
      </c>
      <c r="S10" s="258">
        <v>72.7</v>
      </c>
      <c r="T10" s="258">
        <v>72.7</v>
      </c>
      <c r="U10" s="258">
        <v>72.7</v>
      </c>
      <c r="V10" s="258">
        <v>72.599999999999994</v>
      </c>
      <c r="W10" s="258">
        <v>72.7</v>
      </c>
      <c r="X10" s="258">
        <v>72.7</v>
      </c>
      <c r="Y10" s="258">
        <v>72.7</v>
      </c>
      <c r="Z10" s="258">
        <v>72.8</v>
      </c>
    </row>
    <row r="11" spans="1:26" ht="13.15" x14ac:dyDescent="0.25">
      <c r="A11" t="s">
        <v>696</v>
      </c>
      <c r="C11" s="139" t="s">
        <v>529</v>
      </c>
      <c r="D11" s="95">
        <f t="shared" si="1"/>
        <v>9.0796898792758537E-3</v>
      </c>
      <c r="E11" t="s">
        <v>544</v>
      </c>
      <c r="F11" s="95">
        <f t="shared" si="2"/>
        <v>3.3544303797468353E-2</v>
      </c>
      <c r="G11" s="136">
        <f t="shared" si="0"/>
        <v>2485.5640055290091</v>
      </c>
      <c r="H11" s="187">
        <v>200954</v>
      </c>
      <c r="I11" s="89">
        <v>193163</v>
      </c>
      <c r="J11" s="89">
        <v>14840</v>
      </c>
      <c r="K11" s="89">
        <v>14165</v>
      </c>
      <c r="L11" s="89">
        <v>13310</v>
      </c>
      <c r="M11" s="89">
        <v>12985</v>
      </c>
      <c r="N11" s="89">
        <v>480119000</v>
      </c>
      <c r="O11" s="113" t="s">
        <v>529</v>
      </c>
      <c r="P11" s="256">
        <v>200954</v>
      </c>
      <c r="Q11" s="258">
        <v>200.3</v>
      </c>
      <c r="R11" s="258">
        <v>202.5</v>
      </c>
      <c r="S11" s="258">
        <v>204.4</v>
      </c>
      <c r="T11" s="258">
        <v>206.3</v>
      </c>
      <c r="U11" s="258">
        <v>208.3</v>
      </c>
      <c r="V11" s="258">
        <v>210.3</v>
      </c>
      <c r="W11" s="258">
        <v>212.3</v>
      </c>
      <c r="X11" s="258">
        <v>214.5</v>
      </c>
      <c r="Y11" s="258">
        <v>216.7</v>
      </c>
      <c r="Z11" s="258">
        <v>219.2</v>
      </c>
    </row>
    <row r="12" spans="1:26" ht="13.15" x14ac:dyDescent="0.25">
      <c r="A12" t="s">
        <v>694</v>
      </c>
      <c r="C12" s="139" t="s">
        <v>366</v>
      </c>
      <c r="D12" s="95">
        <f t="shared" si="1"/>
        <v>3.2887126094860351E-3</v>
      </c>
      <c r="E12" t="s">
        <v>173</v>
      </c>
      <c r="F12" s="95">
        <f t="shared" si="2"/>
        <v>2.0272185993762404E-2</v>
      </c>
      <c r="G12" s="136">
        <f t="shared" si="0"/>
        <v>289.38230822650576</v>
      </c>
      <c r="H12" s="187">
        <v>108918</v>
      </c>
      <c r="I12" s="89">
        <v>106558</v>
      </c>
      <c r="J12" s="89">
        <v>9240</v>
      </c>
      <c r="K12" s="89">
        <v>8910</v>
      </c>
      <c r="L12" s="89">
        <v>8595</v>
      </c>
      <c r="M12" s="89">
        <v>8525</v>
      </c>
      <c r="N12" s="89">
        <v>30836000</v>
      </c>
      <c r="O12" s="113" t="s">
        <v>366</v>
      </c>
      <c r="P12" s="256">
        <v>108918</v>
      </c>
      <c r="Q12" s="258">
        <v>108.7</v>
      </c>
      <c r="R12" s="258">
        <v>109.4</v>
      </c>
      <c r="S12" s="258">
        <v>109.9</v>
      </c>
      <c r="T12" s="258">
        <v>110.4</v>
      </c>
      <c r="U12" s="258">
        <v>110.9</v>
      </c>
      <c r="V12" s="258">
        <v>111.4</v>
      </c>
      <c r="W12" s="258">
        <v>111.8</v>
      </c>
      <c r="X12" s="258">
        <v>112.1</v>
      </c>
      <c r="Y12" s="258">
        <v>112.4</v>
      </c>
      <c r="Z12" s="258">
        <v>112.5</v>
      </c>
    </row>
    <row r="13" spans="1:26" ht="13.15" x14ac:dyDescent="0.25">
      <c r="A13" t="s">
        <v>690</v>
      </c>
      <c r="C13" s="139" t="s">
        <v>435</v>
      </c>
      <c r="D13" s="95">
        <f t="shared" si="1"/>
        <v>-2.5069637883008357E-3</v>
      </c>
      <c r="E13" t="s">
        <v>578</v>
      </c>
      <c r="F13" s="95">
        <f t="shared" si="2"/>
        <v>2.20162224797219E-2</v>
      </c>
      <c r="G13" s="136">
        <f t="shared" si="0"/>
        <v>811.86351706036749</v>
      </c>
      <c r="H13" s="187">
        <v>10052</v>
      </c>
      <c r="I13" s="89">
        <v>9525</v>
      </c>
      <c r="J13" s="89">
        <v>1125</v>
      </c>
      <c r="K13" s="89">
        <v>1120</v>
      </c>
      <c r="L13" s="89">
        <v>1040</v>
      </c>
      <c r="M13" s="89">
        <v>1030</v>
      </c>
      <c r="N13" s="89">
        <v>7733000</v>
      </c>
      <c r="O13" s="113" t="s">
        <v>435</v>
      </c>
      <c r="P13" s="256">
        <v>10052</v>
      </c>
      <c r="Q13" s="258">
        <v>9.8000000000000007</v>
      </c>
      <c r="R13" s="258">
        <v>9.8000000000000007</v>
      </c>
      <c r="S13" s="258">
        <v>9.6999999999999993</v>
      </c>
      <c r="T13" s="258">
        <v>9.6999999999999993</v>
      </c>
      <c r="U13" s="258">
        <v>9.6999999999999993</v>
      </c>
      <c r="V13" s="258">
        <v>9.8000000000000007</v>
      </c>
      <c r="W13" s="258">
        <v>9.8000000000000007</v>
      </c>
      <c r="X13" s="258">
        <v>9.8000000000000007</v>
      </c>
      <c r="Y13" s="258">
        <v>9.8000000000000007</v>
      </c>
      <c r="Z13" s="258">
        <v>9.8000000000000007</v>
      </c>
    </row>
    <row r="14" spans="1:26" ht="13.15" x14ac:dyDescent="0.25">
      <c r="A14" t="s">
        <v>693</v>
      </c>
      <c r="C14" s="139" t="s">
        <v>198</v>
      </c>
      <c r="D14" s="95">
        <f t="shared" si="1"/>
        <v>1.8442058904486651E-3</v>
      </c>
      <c r="E14" t="s">
        <v>578</v>
      </c>
      <c r="F14" s="95">
        <f t="shared" si="2"/>
        <v>1.9950124688279301E-2</v>
      </c>
      <c r="G14" s="136">
        <f t="shared" si="0"/>
        <v>4311.6846284741914</v>
      </c>
      <c r="H14" s="187">
        <v>3633</v>
      </c>
      <c r="I14" s="89">
        <v>3526</v>
      </c>
      <c r="J14" s="89">
        <v>525</v>
      </c>
      <c r="K14" s="89">
        <v>505</v>
      </c>
      <c r="L14" s="89">
        <v>490</v>
      </c>
      <c r="M14" s="89">
        <v>485</v>
      </c>
      <c r="N14" s="89">
        <v>15203000</v>
      </c>
      <c r="O14" s="113" t="s">
        <v>198</v>
      </c>
      <c r="P14" s="256">
        <v>3633</v>
      </c>
      <c r="Q14" s="258">
        <v>3.6</v>
      </c>
      <c r="R14" s="258">
        <v>3.7</v>
      </c>
      <c r="S14" s="258">
        <v>3.7</v>
      </c>
      <c r="T14" s="258">
        <v>3.7</v>
      </c>
      <c r="U14" s="258">
        <v>3.7</v>
      </c>
      <c r="V14" s="258">
        <v>3.7</v>
      </c>
      <c r="W14" s="258">
        <v>3.7</v>
      </c>
      <c r="X14" s="258">
        <v>3.7</v>
      </c>
      <c r="Y14" s="258">
        <v>3.7</v>
      </c>
      <c r="Z14" s="258">
        <v>3.7</v>
      </c>
    </row>
    <row r="15" spans="1:26" ht="13.15" x14ac:dyDescent="0.25">
      <c r="A15" t="s">
        <v>697</v>
      </c>
      <c r="C15" s="139" t="s">
        <v>294</v>
      </c>
      <c r="D15" s="95">
        <f t="shared" si="1"/>
        <v>8.3336572976195102E-3</v>
      </c>
      <c r="E15" t="s">
        <v>544</v>
      </c>
      <c r="F15" s="95">
        <f t="shared" si="2"/>
        <v>3.1078792708437095E-2</v>
      </c>
      <c r="G15" s="136">
        <f t="shared" si="0"/>
        <v>2437.2546374367621</v>
      </c>
      <c r="H15" s="187">
        <v>154338</v>
      </c>
      <c r="I15" s="89">
        <v>148250</v>
      </c>
      <c r="J15" s="89">
        <v>13375</v>
      </c>
      <c r="K15" s="89">
        <v>12785</v>
      </c>
      <c r="L15" s="89">
        <v>12220</v>
      </c>
      <c r="M15" s="89">
        <v>11815</v>
      </c>
      <c r="N15" s="89">
        <v>361323000</v>
      </c>
      <c r="O15" s="113" t="s">
        <v>294</v>
      </c>
      <c r="P15" s="256">
        <v>154338</v>
      </c>
      <c r="Q15" s="258">
        <v>155.4</v>
      </c>
      <c r="R15" s="258">
        <v>157.1</v>
      </c>
      <c r="S15" s="258">
        <v>158.69999999999999</v>
      </c>
      <c r="T15" s="258">
        <v>160.1</v>
      </c>
      <c r="U15" s="258">
        <v>161.4</v>
      </c>
      <c r="V15" s="258">
        <v>162.5</v>
      </c>
      <c r="W15" s="258">
        <v>163.6</v>
      </c>
      <c r="X15" s="258">
        <v>164.6</v>
      </c>
      <c r="Y15" s="258">
        <v>165.9</v>
      </c>
      <c r="Z15" s="258">
        <v>167.2</v>
      </c>
    </row>
    <row r="16" spans="1:26" ht="13.15" x14ac:dyDescent="0.25">
      <c r="A16" t="s">
        <v>691</v>
      </c>
      <c r="C16" s="139" t="s">
        <v>321</v>
      </c>
      <c r="D16" s="95">
        <f t="shared" si="1"/>
        <v>9.9688682837241593E-3</v>
      </c>
      <c r="E16" t="s">
        <v>173</v>
      </c>
      <c r="F16" s="95">
        <f t="shared" si="2"/>
        <v>2.8458922498657599E-2</v>
      </c>
      <c r="G16" s="136">
        <f t="shared" si="0"/>
        <v>-589.03830236435829</v>
      </c>
      <c r="H16" s="187">
        <v>89298</v>
      </c>
      <c r="I16" s="89">
        <v>83363</v>
      </c>
      <c r="J16" s="89">
        <v>7455</v>
      </c>
      <c r="K16" s="89">
        <v>7085</v>
      </c>
      <c r="L16" s="89">
        <v>6735</v>
      </c>
      <c r="M16" s="89">
        <v>6660</v>
      </c>
      <c r="N16" s="89">
        <v>-49104000</v>
      </c>
      <c r="O16" s="113" t="s">
        <v>321</v>
      </c>
      <c r="P16" s="256">
        <v>89298</v>
      </c>
      <c r="Q16" s="258">
        <v>89.7</v>
      </c>
      <c r="R16" s="258">
        <v>91.3</v>
      </c>
      <c r="S16" s="258">
        <v>92.5</v>
      </c>
      <c r="T16" s="258">
        <v>93.4</v>
      </c>
      <c r="U16" s="258">
        <v>94.3</v>
      </c>
      <c r="V16" s="258">
        <v>95.3</v>
      </c>
      <c r="W16" s="258">
        <v>96.2</v>
      </c>
      <c r="X16" s="258">
        <v>96.9</v>
      </c>
      <c r="Y16" s="258">
        <v>97.6</v>
      </c>
      <c r="Z16" s="258">
        <v>98.2</v>
      </c>
    </row>
    <row r="17" spans="1:26" ht="13.15" x14ac:dyDescent="0.25">
      <c r="A17" t="s">
        <v>691</v>
      </c>
      <c r="C17" s="139" t="s">
        <v>322</v>
      </c>
      <c r="D17" s="95">
        <f t="shared" si="1"/>
        <v>1.0065134338837571E-2</v>
      </c>
      <c r="E17" t="s">
        <v>544</v>
      </c>
      <c r="F17" s="95">
        <f t="shared" si="2"/>
        <v>3.6377205864650791E-2</v>
      </c>
      <c r="G17" s="136">
        <f t="shared" si="0"/>
        <v>3443.0750148713469</v>
      </c>
      <c r="H17" s="187">
        <v>848861</v>
      </c>
      <c r="I17" s="89">
        <v>790110</v>
      </c>
      <c r="J17" s="89">
        <v>112515</v>
      </c>
      <c r="K17" s="89">
        <v>105990</v>
      </c>
      <c r="L17" s="89">
        <v>99460</v>
      </c>
      <c r="M17" s="89">
        <v>97405</v>
      </c>
      <c r="N17" s="89">
        <v>2720408000</v>
      </c>
      <c r="O17" s="113" t="s">
        <v>322</v>
      </c>
      <c r="P17" s="256">
        <v>848861</v>
      </c>
      <c r="Q17" s="258">
        <v>845.1</v>
      </c>
      <c r="R17" s="258">
        <v>859.7</v>
      </c>
      <c r="S17" s="258">
        <v>870.9</v>
      </c>
      <c r="T17" s="258">
        <v>880</v>
      </c>
      <c r="U17" s="258">
        <v>888.1</v>
      </c>
      <c r="V17" s="258">
        <v>896.2</v>
      </c>
      <c r="W17" s="258">
        <v>905.8</v>
      </c>
      <c r="X17" s="258">
        <v>915.3</v>
      </c>
      <c r="Y17" s="258">
        <v>925</v>
      </c>
      <c r="Z17" s="258">
        <v>934.3</v>
      </c>
    </row>
    <row r="18" spans="1:26" ht="13.15" x14ac:dyDescent="0.25">
      <c r="A18" t="s">
        <v>692</v>
      </c>
      <c r="C18" s="139" t="s">
        <v>242</v>
      </c>
      <c r="D18" s="95">
        <f t="shared" si="1"/>
        <v>2.1304643912557246E-4</v>
      </c>
      <c r="E18" t="s">
        <v>544</v>
      </c>
      <c r="F18" s="95">
        <f t="shared" si="2"/>
        <v>2.0612993740556876E-2</v>
      </c>
      <c r="G18" s="136">
        <f t="shared" si="0"/>
        <v>3812.6031307139992</v>
      </c>
      <c r="H18" s="187">
        <v>160059</v>
      </c>
      <c r="I18" s="89">
        <v>156961</v>
      </c>
      <c r="J18" s="89">
        <v>12115</v>
      </c>
      <c r="K18" s="89">
        <v>11695</v>
      </c>
      <c r="L18" s="89">
        <v>11360</v>
      </c>
      <c r="M18" s="89">
        <v>11160</v>
      </c>
      <c r="N18" s="89">
        <v>598430000</v>
      </c>
      <c r="O18" s="113" t="s">
        <v>242</v>
      </c>
      <c r="P18" s="256">
        <v>160059</v>
      </c>
      <c r="Q18" s="258">
        <v>159.1</v>
      </c>
      <c r="R18" s="258">
        <v>159.6</v>
      </c>
      <c r="S18" s="258">
        <v>159.80000000000001</v>
      </c>
      <c r="T18" s="258">
        <v>159.9</v>
      </c>
      <c r="U18" s="258">
        <v>160</v>
      </c>
      <c r="V18" s="258">
        <v>160.1</v>
      </c>
      <c r="W18" s="258">
        <v>160.19999999999999</v>
      </c>
      <c r="X18" s="258">
        <v>160.19999999999999</v>
      </c>
      <c r="Y18" s="258">
        <v>160.30000000000001</v>
      </c>
      <c r="Z18" s="258">
        <v>160.4</v>
      </c>
    </row>
    <row r="19" spans="1:26" ht="13.15" x14ac:dyDescent="0.25">
      <c r="A19" t="s">
        <v>698</v>
      </c>
      <c r="C19" s="139" t="s">
        <v>174</v>
      </c>
      <c r="D19" s="95">
        <f t="shared" si="1"/>
        <v>-3.0667669424250025E-3</v>
      </c>
      <c r="E19" t="s">
        <v>544</v>
      </c>
      <c r="F19" s="95">
        <f t="shared" si="2"/>
        <v>1.3698630136986301E-2</v>
      </c>
      <c r="G19" s="136">
        <f t="shared" si="0"/>
        <v>973.78246079814153</v>
      </c>
      <c r="H19" s="187">
        <v>11967</v>
      </c>
      <c r="I19" s="89">
        <v>12053</v>
      </c>
      <c r="J19" s="89">
        <v>570</v>
      </c>
      <c r="K19" s="89">
        <v>555</v>
      </c>
      <c r="L19" s="89">
        <v>525</v>
      </c>
      <c r="M19" s="89">
        <v>540</v>
      </c>
      <c r="N19" s="89">
        <v>11737000</v>
      </c>
      <c r="O19" s="113" t="s">
        <v>174</v>
      </c>
      <c r="P19" s="256">
        <v>11967</v>
      </c>
      <c r="Q19" s="258">
        <v>11.9</v>
      </c>
      <c r="R19" s="258">
        <v>11.9</v>
      </c>
      <c r="S19" s="258">
        <v>11.8</v>
      </c>
      <c r="T19" s="258">
        <v>11.8</v>
      </c>
      <c r="U19" s="258">
        <v>11.7</v>
      </c>
      <c r="V19" s="258">
        <v>11.7</v>
      </c>
      <c r="W19" s="258">
        <v>11.6</v>
      </c>
      <c r="X19" s="258">
        <v>11.6</v>
      </c>
      <c r="Y19" s="258">
        <v>11.6</v>
      </c>
      <c r="Z19" s="258">
        <v>11.6</v>
      </c>
    </row>
    <row r="20" spans="1:26" ht="13.15" x14ac:dyDescent="0.25">
      <c r="A20" t="s">
        <v>692</v>
      </c>
      <c r="C20" s="139" t="s">
        <v>243</v>
      </c>
      <c r="D20" s="95">
        <f t="shared" si="1"/>
        <v>5.9587338894561423E-3</v>
      </c>
      <c r="E20" t="s">
        <v>544</v>
      </c>
      <c r="F20" s="95">
        <f t="shared" si="2"/>
        <v>2.7739976970585157E-2</v>
      </c>
      <c r="G20" s="136">
        <f t="shared" si="0"/>
        <v>3362.83671979152</v>
      </c>
      <c r="H20" s="187">
        <v>155721</v>
      </c>
      <c r="I20" s="89">
        <v>149271</v>
      </c>
      <c r="J20" s="89">
        <v>12690</v>
      </c>
      <c r="K20" s="89">
        <v>12110</v>
      </c>
      <c r="L20" s="89">
        <v>11600</v>
      </c>
      <c r="M20" s="89">
        <v>11365</v>
      </c>
      <c r="N20" s="89">
        <v>501974000</v>
      </c>
      <c r="O20" s="113" t="s">
        <v>243</v>
      </c>
      <c r="P20" s="256">
        <v>155721</v>
      </c>
      <c r="Q20" s="258">
        <v>154.80000000000001</v>
      </c>
      <c r="R20" s="258">
        <v>156.30000000000001</v>
      </c>
      <c r="S20" s="258">
        <v>157.6</v>
      </c>
      <c r="T20" s="258">
        <v>158.6</v>
      </c>
      <c r="U20" s="258">
        <v>159.80000000000001</v>
      </c>
      <c r="V20" s="258">
        <v>161.1</v>
      </c>
      <c r="W20" s="258">
        <v>162.30000000000001</v>
      </c>
      <c r="X20" s="258">
        <v>163.30000000000001</v>
      </c>
      <c r="Y20" s="258">
        <v>164.2</v>
      </c>
      <c r="Z20" s="258">
        <v>165</v>
      </c>
    </row>
    <row r="21" spans="1:26" ht="13.15" x14ac:dyDescent="0.25">
      <c r="A21" t="s">
        <v>689</v>
      </c>
      <c r="C21" s="139" t="s">
        <v>162</v>
      </c>
      <c r="D21" s="95">
        <f t="shared" si="1"/>
        <v>3.4712456516912144E-3</v>
      </c>
      <c r="E21" t="s">
        <v>544</v>
      </c>
      <c r="F21" s="95">
        <f t="shared" si="2"/>
        <v>2.6416295353278166E-2</v>
      </c>
      <c r="G21" s="136">
        <f t="shared" si="0"/>
        <v>2405.4725627901439</v>
      </c>
      <c r="H21" s="187">
        <v>67555</v>
      </c>
      <c r="I21" s="89">
        <v>67208</v>
      </c>
      <c r="J21" s="89">
        <v>4150</v>
      </c>
      <c r="K21" s="89">
        <v>4000</v>
      </c>
      <c r="L21" s="89">
        <v>3825</v>
      </c>
      <c r="M21" s="89">
        <v>3735</v>
      </c>
      <c r="N21" s="89">
        <v>161667000</v>
      </c>
      <c r="O21" s="113" t="s">
        <v>162</v>
      </c>
      <c r="P21" s="256">
        <v>67555</v>
      </c>
      <c r="Q21" s="258">
        <v>67.3</v>
      </c>
      <c r="R21" s="258">
        <v>67.3</v>
      </c>
      <c r="S21" s="258">
        <v>67.599999999999994</v>
      </c>
      <c r="T21" s="258">
        <v>68</v>
      </c>
      <c r="U21" s="258">
        <v>68.2</v>
      </c>
      <c r="V21" s="258">
        <v>68.599999999999994</v>
      </c>
      <c r="W21" s="258">
        <v>69</v>
      </c>
      <c r="X21" s="258">
        <v>69.400000000000006</v>
      </c>
      <c r="Y21" s="258">
        <v>69.599999999999994</v>
      </c>
      <c r="Z21" s="258">
        <v>69.900000000000006</v>
      </c>
    </row>
    <row r="22" spans="1:26" ht="13.15" x14ac:dyDescent="0.25">
      <c r="A22" t="s">
        <v>690</v>
      </c>
      <c r="C22" s="139" t="s">
        <v>436</v>
      </c>
      <c r="D22" s="95">
        <f t="shared" si="1"/>
        <v>-5.3863187503740503E-5</v>
      </c>
      <c r="E22" t="s">
        <v>578</v>
      </c>
      <c r="F22" s="95">
        <f t="shared" si="2"/>
        <v>1.4210919970082274E-2</v>
      </c>
      <c r="G22" s="136">
        <f t="shared" si="0"/>
        <v>-910.02194586686176</v>
      </c>
      <c r="H22" s="187">
        <v>16709</v>
      </c>
      <c r="I22" s="89">
        <v>16404</v>
      </c>
      <c r="J22" s="89">
        <v>1725</v>
      </c>
      <c r="K22" s="89">
        <v>1685</v>
      </c>
      <c r="L22" s="89">
        <v>1645</v>
      </c>
      <c r="M22" s="89">
        <v>1630</v>
      </c>
      <c r="N22" s="89">
        <v>-14928000</v>
      </c>
      <c r="O22" s="113" t="s">
        <v>436</v>
      </c>
      <c r="P22" s="256">
        <v>16709</v>
      </c>
      <c r="Q22" s="258">
        <v>16.600000000000001</v>
      </c>
      <c r="R22" s="258">
        <v>16.7</v>
      </c>
      <c r="S22" s="258">
        <v>16.7</v>
      </c>
      <c r="T22" s="258">
        <v>16.8</v>
      </c>
      <c r="U22" s="258">
        <v>16.8</v>
      </c>
      <c r="V22" s="258">
        <v>16.7</v>
      </c>
      <c r="W22" s="258">
        <v>16.7</v>
      </c>
      <c r="X22" s="258">
        <v>16.7</v>
      </c>
      <c r="Y22" s="258">
        <v>16.8</v>
      </c>
      <c r="Z22" s="258">
        <v>16.7</v>
      </c>
    </row>
    <row r="23" spans="1:26" ht="13.15" x14ac:dyDescent="0.25">
      <c r="A23" t="s">
        <v>690</v>
      </c>
      <c r="C23" s="139" t="s">
        <v>437</v>
      </c>
      <c r="D23" s="95">
        <f t="shared" si="1"/>
        <v>-2.3730850105136677E-3</v>
      </c>
      <c r="E23" t="s">
        <v>578</v>
      </c>
      <c r="F23" s="95">
        <f t="shared" si="2"/>
        <v>1.6616314199395771E-2</v>
      </c>
      <c r="G23" s="136">
        <f t="shared" si="0"/>
        <v>-902.85629277000896</v>
      </c>
      <c r="H23" s="187">
        <v>6658</v>
      </c>
      <c r="I23" s="89">
        <v>6722</v>
      </c>
      <c r="J23" s="89">
        <v>855</v>
      </c>
      <c r="K23" s="89">
        <v>840</v>
      </c>
      <c r="L23" s="89">
        <v>815</v>
      </c>
      <c r="M23" s="89">
        <v>800</v>
      </c>
      <c r="N23" s="89">
        <v>-6069000</v>
      </c>
      <c r="O23" s="113" t="s">
        <v>437</v>
      </c>
      <c r="P23" s="256">
        <v>6658</v>
      </c>
      <c r="Q23" s="258">
        <v>6.7</v>
      </c>
      <c r="R23" s="258">
        <v>6.7</v>
      </c>
      <c r="S23" s="258">
        <v>6.7</v>
      </c>
      <c r="T23" s="258">
        <v>6.6</v>
      </c>
      <c r="U23" s="258">
        <v>6.6</v>
      </c>
      <c r="V23" s="258">
        <v>6.6</v>
      </c>
      <c r="W23" s="258">
        <v>6.6</v>
      </c>
      <c r="X23" s="258">
        <v>6.6</v>
      </c>
      <c r="Y23" s="258">
        <v>6.5</v>
      </c>
      <c r="Z23" s="258">
        <v>6.5</v>
      </c>
    </row>
    <row r="24" spans="1:26" ht="13.15" x14ac:dyDescent="0.25">
      <c r="A24" t="s">
        <v>697</v>
      </c>
      <c r="C24" s="139" t="s">
        <v>295</v>
      </c>
      <c r="D24" s="95">
        <f t="shared" si="1"/>
        <v>1.5414729630535845E-3</v>
      </c>
      <c r="E24" t="s">
        <v>173</v>
      </c>
      <c r="F24" s="95">
        <f t="shared" si="2"/>
        <v>2.0939972080037228E-2</v>
      </c>
      <c r="G24" s="136">
        <f t="shared" si="0"/>
        <v>758.50032851511173</v>
      </c>
      <c r="H24" s="187">
        <v>24522</v>
      </c>
      <c r="I24" s="89">
        <v>24352</v>
      </c>
      <c r="J24" s="89">
        <v>2810</v>
      </c>
      <c r="K24" s="89">
        <v>2730</v>
      </c>
      <c r="L24" s="89">
        <v>2620</v>
      </c>
      <c r="M24" s="89">
        <v>2585</v>
      </c>
      <c r="N24" s="89">
        <v>18471000</v>
      </c>
      <c r="O24" s="113" t="s">
        <v>295</v>
      </c>
      <c r="P24" s="256">
        <v>24522</v>
      </c>
      <c r="Q24" s="258">
        <v>24.6</v>
      </c>
      <c r="R24" s="258">
        <v>24.8</v>
      </c>
      <c r="S24" s="258">
        <v>24.9</v>
      </c>
      <c r="T24" s="258">
        <v>24.9</v>
      </c>
      <c r="U24" s="258">
        <v>24.9</v>
      </c>
      <c r="V24" s="258">
        <v>24.9</v>
      </c>
      <c r="W24" s="258">
        <v>24.8</v>
      </c>
      <c r="X24" s="258">
        <v>24.8</v>
      </c>
      <c r="Y24" s="258">
        <v>24.9</v>
      </c>
      <c r="Z24" s="258">
        <v>24.9</v>
      </c>
    </row>
    <row r="25" spans="1:26" ht="13.15" x14ac:dyDescent="0.25">
      <c r="A25" t="s">
        <v>694</v>
      </c>
      <c r="C25" s="139" t="s">
        <v>367</v>
      </c>
      <c r="D25" s="95">
        <f t="shared" si="1"/>
        <v>-6.296541452920734E-3</v>
      </c>
      <c r="E25" t="s">
        <v>578</v>
      </c>
      <c r="F25" s="95">
        <f t="shared" si="2"/>
        <v>2.2242260294559665E-2</v>
      </c>
      <c r="G25" s="136">
        <f t="shared" si="0"/>
        <v>1616.326270375959</v>
      </c>
      <c r="H25" s="187">
        <v>48344</v>
      </c>
      <c r="I25" s="89">
        <v>47053</v>
      </c>
      <c r="J25" s="89">
        <v>4385</v>
      </c>
      <c r="K25" s="89">
        <v>4180</v>
      </c>
      <c r="L25" s="89">
        <v>4055</v>
      </c>
      <c r="M25" s="89">
        <v>4015</v>
      </c>
      <c r="N25" s="89">
        <v>76053000</v>
      </c>
      <c r="O25" s="113" t="s">
        <v>367</v>
      </c>
      <c r="P25" s="256">
        <v>48344</v>
      </c>
      <c r="Q25" s="258">
        <v>47.6</v>
      </c>
      <c r="R25" s="258">
        <v>47.5</v>
      </c>
      <c r="S25" s="258">
        <v>47.3</v>
      </c>
      <c r="T25" s="258">
        <v>46.8</v>
      </c>
      <c r="U25" s="258">
        <v>46.4</v>
      </c>
      <c r="V25" s="258">
        <v>46</v>
      </c>
      <c r="W25" s="258">
        <v>45.8</v>
      </c>
      <c r="X25" s="258">
        <v>45.6</v>
      </c>
      <c r="Y25" s="258">
        <v>45.4</v>
      </c>
      <c r="Z25" s="258">
        <v>45.3</v>
      </c>
    </row>
    <row r="26" spans="1:26" ht="13.15" x14ac:dyDescent="0.25">
      <c r="A26" t="s">
        <v>692</v>
      </c>
      <c r="C26" s="139" t="s">
        <v>244</v>
      </c>
      <c r="D26" s="95">
        <f t="shared" si="1"/>
        <v>8.5664614784197544E-3</v>
      </c>
      <c r="E26" t="s">
        <v>578</v>
      </c>
      <c r="F26" s="95">
        <f t="shared" si="2"/>
        <v>2.4728850325379609E-2</v>
      </c>
      <c r="G26" s="136">
        <f t="shared" si="0"/>
        <v>3979.2604771958672</v>
      </c>
      <c r="H26" s="187">
        <v>56371</v>
      </c>
      <c r="I26" s="89">
        <v>53521</v>
      </c>
      <c r="J26" s="89">
        <v>6070</v>
      </c>
      <c r="K26" s="89">
        <v>5830</v>
      </c>
      <c r="L26" s="89">
        <v>5650</v>
      </c>
      <c r="M26" s="89">
        <v>5500</v>
      </c>
      <c r="N26" s="89">
        <v>212974000</v>
      </c>
      <c r="O26" s="113" t="s">
        <v>244</v>
      </c>
      <c r="P26" s="256">
        <v>56371</v>
      </c>
      <c r="Q26" s="258">
        <v>55.7</v>
      </c>
      <c r="R26" s="258">
        <v>56.3</v>
      </c>
      <c r="S26" s="258">
        <v>56.8</v>
      </c>
      <c r="T26" s="258">
        <v>57.3</v>
      </c>
      <c r="U26" s="258">
        <v>57.8</v>
      </c>
      <c r="V26" s="258">
        <v>58.5</v>
      </c>
      <c r="W26" s="258">
        <v>59.3</v>
      </c>
      <c r="X26" s="258">
        <v>59.9</v>
      </c>
      <c r="Y26" s="258">
        <v>60.6</v>
      </c>
      <c r="Z26" s="258">
        <v>61.2</v>
      </c>
    </row>
    <row r="27" spans="1:26" ht="13.15" x14ac:dyDescent="0.25">
      <c r="A27" t="s">
        <v>698</v>
      </c>
      <c r="C27" s="139" t="s">
        <v>175</v>
      </c>
      <c r="D27" s="95">
        <f t="shared" si="1"/>
        <v>4.0076335877862598E-3</v>
      </c>
      <c r="E27" t="s">
        <v>173</v>
      </c>
      <c r="F27" s="95">
        <f t="shared" si="2"/>
        <v>2.9126213592233011E-2</v>
      </c>
      <c r="G27" s="136">
        <f t="shared" si="0"/>
        <v>1131.3285116102018</v>
      </c>
      <c r="H27" s="187">
        <v>10480</v>
      </c>
      <c r="I27" s="89">
        <v>10508</v>
      </c>
      <c r="J27" s="89">
        <v>695</v>
      </c>
      <c r="K27" s="89">
        <v>650</v>
      </c>
      <c r="L27" s="89">
        <v>610</v>
      </c>
      <c r="M27" s="89">
        <v>620</v>
      </c>
      <c r="N27" s="89">
        <v>11888000</v>
      </c>
      <c r="O27" s="113" t="s">
        <v>175</v>
      </c>
      <c r="P27" s="256">
        <v>10480</v>
      </c>
      <c r="Q27" s="258">
        <v>10.5</v>
      </c>
      <c r="R27" s="258">
        <v>10.5</v>
      </c>
      <c r="S27" s="258">
        <v>10.6</v>
      </c>
      <c r="T27" s="258">
        <v>10.7</v>
      </c>
      <c r="U27" s="258">
        <v>10.7</v>
      </c>
      <c r="V27" s="258">
        <v>10.7</v>
      </c>
      <c r="W27" s="258">
        <v>10.8</v>
      </c>
      <c r="X27" s="258">
        <v>10.8</v>
      </c>
      <c r="Y27" s="258">
        <v>10.8</v>
      </c>
      <c r="Z27" s="258">
        <v>10.9</v>
      </c>
    </row>
    <row r="28" spans="1:26" ht="13.15" x14ac:dyDescent="0.25">
      <c r="A28" t="s">
        <v>699</v>
      </c>
      <c r="C28" s="139" t="s">
        <v>497</v>
      </c>
      <c r="D28" s="95">
        <f t="shared" si="1"/>
        <v>3.4807149576669802E-3</v>
      </c>
      <c r="E28" t="s">
        <v>173</v>
      </c>
      <c r="F28" s="95">
        <f t="shared" si="2"/>
        <v>1.9927536231884056E-2</v>
      </c>
      <c r="G28" s="136">
        <f t="shared" si="0"/>
        <v>-1685.3010876830529</v>
      </c>
      <c r="H28" s="187">
        <v>15945</v>
      </c>
      <c r="I28" s="89">
        <v>16457</v>
      </c>
      <c r="J28" s="89">
        <v>1445</v>
      </c>
      <c r="K28" s="89">
        <v>1370</v>
      </c>
      <c r="L28" s="89">
        <v>1370</v>
      </c>
      <c r="M28" s="89">
        <v>1335</v>
      </c>
      <c r="N28" s="89">
        <v>-27735000</v>
      </c>
      <c r="O28" s="113" t="s">
        <v>497</v>
      </c>
      <c r="P28" s="256">
        <v>15945</v>
      </c>
      <c r="Q28" s="258">
        <v>16.7</v>
      </c>
      <c r="R28" s="258">
        <v>16.899999999999999</v>
      </c>
      <c r="S28" s="258">
        <v>17</v>
      </c>
      <c r="T28" s="258">
        <v>17</v>
      </c>
      <c r="U28" s="258">
        <v>16.899999999999999</v>
      </c>
      <c r="V28" s="258">
        <v>16.7</v>
      </c>
      <c r="W28" s="258">
        <v>16.7</v>
      </c>
      <c r="X28" s="258">
        <v>16.600000000000001</v>
      </c>
      <c r="Y28" s="258">
        <v>16.600000000000001</v>
      </c>
      <c r="Z28" s="258">
        <v>16.5</v>
      </c>
    </row>
    <row r="29" spans="1:26" ht="13.15" x14ac:dyDescent="0.25">
      <c r="A29" t="s">
        <v>691</v>
      </c>
      <c r="C29" s="139" t="s">
        <v>323</v>
      </c>
      <c r="D29" s="95">
        <f t="shared" si="1"/>
        <v>5.3431798436142488E-3</v>
      </c>
      <c r="E29" t="s">
        <v>578</v>
      </c>
      <c r="F29" s="95">
        <f t="shared" si="2"/>
        <v>1.5853658536585366E-2</v>
      </c>
      <c r="G29" s="136">
        <f t="shared" si="0"/>
        <v>2011.9279733914441</v>
      </c>
      <c r="H29" s="187">
        <v>9208</v>
      </c>
      <c r="I29" s="89">
        <v>8719</v>
      </c>
      <c r="J29" s="89">
        <v>1060</v>
      </c>
      <c r="K29" s="89">
        <v>1030</v>
      </c>
      <c r="L29" s="89">
        <v>1015</v>
      </c>
      <c r="M29" s="89">
        <v>995</v>
      </c>
      <c r="N29" s="89">
        <v>17542000</v>
      </c>
      <c r="O29" s="113" t="s">
        <v>323</v>
      </c>
      <c r="P29" s="256">
        <v>9208</v>
      </c>
      <c r="Q29" s="258">
        <v>9.1</v>
      </c>
      <c r="R29" s="258">
        <v>9.1999999999999993</v>
      </c>
      <c r="S29" s="258">
        <v>9.3000000000000007</v>
      </c>
      <c r="T29" s="258">
        <v>9.4</v>
      </c>
      <c r="U29" s="258">
        <v>9.5</v>
      </c>
      <c r="V29" s="258">
        <v>9.5</v>
      </c>
      <c r="W29" s="258">
        <v>9.6</v>
      </c>
      <c r="X29" s="258">
        <v>9.6</v>
      </c>
      <c r="Y29" s="258">
        <v>9.6999999999999993</v>
      </c>
      <c r="Z29" s="258">
        <v>9.6999999999999993</v>
      </c>
    </row>
    <row r="30" spans="1:26" ht="13.15" x14ac:dyDescent="0.25">
      <c r="A30" t="s">
        <v>699</v>
      </c>
      <c r="C30" s="139" t="s">
        <v>498</v>
      </c>
      <c r="D30" s="95">
        <f t="shared" si="1"/>
        <v>6.9366748713358697E-4</v>
      </c>
      <c r="E30" t="s">
        <v>173</v>
      </c>
      <c r="F30" s="95">
        <f t="shared" si="2"/>
        <v>1.0719754977029096E-2</v>
      </c>
      <c r="G30" s="136">
        <f t="shared" si="0"/>
        <v>-962.96026779217004</v>
      </c>
      <c r="H30" s="187">
        <v>13407</v>
      </c>
      <c r="I30" s="89">
        <v>13742</v>
      </c>
      <c r="J30" s="89">
        <v>840</v>
      </c>
      <c r="K30" s="89">
        <v>820</v>
      </c>
      <c r="L30" s="89">
        <v>800</v>
      </c>
      <c r="M30" s="89">
        <v>805</v>
      </c>
      <c r="N30" s="89">
        <v>-13233000</v>
      </c>
      <c r="O30" s="113" t="s">
        <v>498</v>
      </c>
      <c r="P30" s="256">
        <v>13407</v>
      </c>
      <c r="Q30" s="258">
        <v>13.6</v>
      </c>
      <c r="R30" s="258">
        <v>13.6</v>
      </c>
      <c r="S30" s="258">
        <v>13.6</v>
      </c>
      <c r="T30" s="258">
        <v>13.6</v>
      </c>
      <c r="U30" s="258">
        <v>13.5</v>
      </c>
      <c r="V30" s="258">
        <v>13.5</v>
      </c>
      <c r="W30" s="258">
        <v>13.5</v>
      </c>
      <c r="X30" s="258">
        <v>13.5</v>
      </c>
      <c r="Y30" s="258">
        <v>13.5</v>
      </c>
      <c r="Z30" s="258">
        <v>13.5</v>
      </c>
    </row>
    <row r="31" spans="1:26" ht="13.15" x14ac:dyDescent="0.25">
      <c r="A31" t="s">
        <v>698</v>
      </c>
      <c r="C31" s="139" t="s">
        <v>176</v>
      </c>
      <c r="D31" s="95">
        <f t="shared" si="1"/>
        <v>7.623318385650224E-3</v>
      </c>
      <c r="E31" t="s">
        <v>173</v>
      </c>
      <c r="F31" s="95">
        <f t="shared" si="2"/>
        <v>1.2915129151291513E-2</v>
      </c>
      <c r="G31" s="136">
        <f t="shared" si="0"/>
        <v>1364.7527738877518</v>
      </c>
      <c r="H31" s="187">
        <v>8920</v>
      </c>
      <c r="I31" s="89">
        <v>9283</v>
      </c>
      <c r="J31" s="89">
        <v>700</v>
      </c>
      <c r="K31" s="89">
        <v>675</v>
      </c>
      <c r="L31" s="89">
        <v>670</v>
      </c>
      <c r="M31" s="89">
        <v>665</v>
      </c>
      <c r="N31" s="89">
        <v>12669000</v>
      </c>
      <c r="O31" s="113" t="s">
        <v>176</v>
      </c>
      <c r="P31" s="256">
        <v>8920</v>
      </c>
      <c r="Q31" s="258">
        <v>9.1</v>
      </c>
      <c r="R31" s="258">
        <v>9.1</v>
      </c>
      <c r="S31" s="258">
        <v>9.1999999999999993</v>
      </c>
      <c r="T31" s="258">
        <v>9.1999999999999993</v>
      </c>
      <c r="U31" s="258">
        <v>9.3000000000000007</v>
      </c>
      <c r="V31" s="258">
        <v>9.3000000000000007</v>
      </c>
      <c r="W31" s="258">
        <v>9.4</v>
      </c>
      <c r="X31" s="258">
        <v>9.4</v>
      </c>
      <c r="Y31" s="258">
        <v>9.5</v>
      </c>
      <c r="Z31" s="258">
        <v>9.6</v>
      </c>
    </row>
    <row r="32" spans="1:26" ht="13.15" x14ac:dyDescent="0.25">
      <c r="A32" t="s">
        <v>692</v>
      </c>
      <c r="C32" s="139" t="s">
        <v>700</v>
      </c>
      <c r="D32" s="95">
        <f t="shared" si="1"/>
        <v>-5.8328305031175474E-4</v>
      </c>
      <c r="E32" t="s">
        <v>173</v>
      </c>
      <c r="F32" s="95">
        <f t="shared" si="2"/>
        <v>1.8022657054582905E-2</v>
      </c>
      <c r="G32" s="136">
        <f t="shared" si="0"/>
        <v>118.42336279042547</v>
      </c>
      <c r="H32" s="187">
        <v>34803</v>
      </c>
      <c r="I32" s="89">
        <v>34174</v>
      </c>
      <c r="J32" s="89">
        <v>2515</v>
      </c>
      <c r="K32" s="89">
        <v>2475</v>
      </c>
      <c r="L32" s="89">
        <v>2380</v>
      </c>
      <c r="M32" s="89">
        <v>2340</v>
      </c>
      <c r="N32" s="89">
        <v>4047000</v>
      </c>
      <c r="O32" s="113" t="s">
        <v>700</v>
      </c>
      <c r="P32" s="256">
        <v>34803</v>
      </c>
      <c r="Q32" s="258">
        <v>34.5</v>
      </c>
      <c r="R32" s="258">
        <v>34.5</v>
      </c>
      <c r="S32" s="258">
        <v>34.5</v>
      </c>
      <c r="T32" s="258">
        <v>34.4</v>
      </c>
      <c r="U32" s="258">
        <v>34.4</v>
      </c>
      <c r="V32" s="258">
        <v>34.4</v>
      </c>
      <c r="W32" s="258">
        <v>34.4</v>
      </c>
      <c r="X32" s="258">
        <v>34.4</v>
      </c>
      <c r="Y32" s="258">
        <v>34.5</v>
      </c>
      <c r="Z32" s="258">
        <v>34.6</v>
      </c>
    </row>
    <row r="33" spans="1:26" ht="13.15" x14ac:dyDescent="0.25">
      <c r="A33" t="s">
        <v>690</v>
      </c>
      <c r="C33" s="139" t="s">
        <v>438</v>
      </c>
      <c r="D33" s="95">
        <f t="shared" si="1"/>
        <v>1.8962510897994767E-3</v>
      </c>
      <c r="E33" t="s">
        <v>578</v>
      </c>
      <c r="F33" s="95">
        <f t="shared" si="2"/>
        <v>1.6894087069525665E-2</v>
      </c>
      <c r="G33" s="136">
        <f t="shared" si="0"/>
        <v>1629.9177840313414</v>
      </c>
      <c r="H33" s="187">
        <v>18352</v>
      </c>
      <c r="I33" s="89">
        <v>18123</v>
      </c>
      <c r="J33" s="89">
        <v>2000</v>
      </c>
      <c r="K33" s="89">
        <v>1925</v>
      </c>
      <c r="L33" s="89">
        <v>1900</v>
      </c>
      <c r="M33" s="89">
        <v>1870</v>
      </c>
      <c r="N33" s="89">
        <v>29539000</v>
      </c>
      <c r="O33" s="113" t="s">
        <v>438</v>
      </c>
      <c r="P33" s="256">
        <v>18352</v>
      </c>
      <c r="Q33" s="258">
        <v>18.399999999999999</v>
      </c>
      <c r="R33" s="258">
        <v>18.399999999999999</v>
      </c>
      <c r="S33" s="258">
        <v>18.5</v>
      </c>
      <c r="T33" s="258">
        <v>18.5</v>
      </c>
      <c r="U33" s="258">
        <v>18.5</v>
      </c>
      <c r="V33" s="258">
        <v>18.600000000000001</v>
      </c>
      <c r="W33" s="258">
        <v>18.600000000000001</v>
      </c>
      <c r="X33" s="258">
        <v>18.600000000000001</v>
      </c>
      <c r="Y33" s="258">
        <v>18.600000000000001</v>
      </c>
      <c r="Z33" s="258">
        <v>18.7</v>
      </c>
    </row>
    <row r="34" spans="1:26" ht="13.15" x14ac:dyDescent="0.25">
      <c r="A34" t="s">
        <v>699</v>
      </c>
      <c r="C34" s="139" t="s">
        <v>537</v>
      </c>
      <c r="D34" s="95">
        <f t="shared" si="1"/>
        <v>-6.0710194730813289E-3</v>
      </c>
      <c r="E34" t="s">
        <v>173</v>
      </c>
      <c r="F34" s="95">
        <f t="shared" si="2"/>
        <v>2.0942408376963352E-2</v>
      </c>
      <c r="G34" s="136">
        <f t="shared" si="0"/>
        <v>-210.22128556375131</v>
      </c>
      <c r="H34" s="187">
        <v>13095</v>
      </c>
      <c r="I34" s="89">
        <v>13286</v>
      </c>
      <c r="J34" s="89">
        <v>995</v>
      </c>
      <c r="K34" s="89">
        <v>970</v>
      </c>
      <c r="L34" s="89">
        <v>940</v>
      </c>
      <c r="M34" s="89">
        <v>915</v>
      </c>
      <c r="N34" s="89">
        <v>-2793000</v>
      </c>
      <c r="O34" s="113" t="s">
        <v>537</v>
      </c>
      <c r="P34" s="256">
        <v>13095</v>
      </c>
      <c r="Q34" s="258">
        <v>13</v>
      </c>
      <c r="R34" s="258">
        <v>12.9</v>
      </c>
      <c r="S34" s="258">
        <v>12.9</v>
      </c>
      <c r="T34" s="258">
        <v>12.8</v>
      </c>
      <c r="U34" s="258">
        <v>12.7</v>
      </c>
      <c r="V34" s="258">
        <v>12.7</v>
      </c>
      <c r="W34" s="258">
        <v>12.6</v>
      </c>
      <c r="X34" s="258">
        <v>12.5</v>
      </c>
      <c r="Y34" s="258">
        <v>12.4</v>
      </c>
      <c r="Z34" s="258">
        <v>12.3</v>
      </c>
    </row>
    <row r="35" spans="1:26" ht="13.15" x14ac:dyDescent="0.25">
      <c r="A35" t="s">
        <v>691</v>
      </c>
      <c r="C35" s="139" t="s">
        <v>538</v>
      </c>
      <c r="D35" s="95">
        <f t="shared" si="1"/>
        <v>-4.1522839237239859E-3</v>
      </c>
      <c r="E35" t="s">
        <v>173</v>
      </c>
      <c r="F35" s="95">
        <f t="shared" si="2"/>
        <v>1.7849898580121704E-2</v>
      </c>
      <c r="G35" s="136">
        <f t="shared" si="0"/>
        <v>1510.5925298220454</v>
      </c>
      <c r="H35" s="187">
        <v>29839</v>
      </c>
      <c r="I35" s="89">
        <v>30682</v>
      </c>
      <c r="J35" s="89">
        <v>3215</v>
      </c>
      <c r="K35" s="89">
        <v>3085</v>
      </c>
      <c r="L35" s="89">
        <v>3030</v>
      </c>
      <c r="M35" s="89">
        <v>2995</v>
      </c>
      <c r="N35" s="89">
        <v>46348000</v>
      </c>
      <c r="O35" s="113" t="s">
        <v>538</v>
      </c>
      <c r="P35" s="256">
        <v>29839</v>
      </c>
      <c r="Q35" s="258">
        <v>29.9</v>
      </c>
      <c r="R35" s="258">
        <v>29.8</v>
      </c>
      <c r="S35" s="258">
        <v>29.7</v>
      </c>
      <c r="T35" s="258">
        <v>29.4</v>
      </c>
      <c r="U35" s="258">
        <v>29.2</v>
      </c>
      <c r="V35" s="258">
        <v>29</v>
      </c>
      <c r="W35" s="258">
        <v>28.9</v>
      </c>
      <c r="X35" s="258">
        <v>28.8</v>
      </c>
      <c r="Y35" s="258">
        <v>28.7</v>
      </c>
      <c r="Z35" s="258">
        <v>28.6</v>
      </c>
    </row>
    <row r="36" spans="1:26" ht="13.15" x14ac:dyDescent="0.25">
      <c r="A36" t="s">
        <v>690</v>
      </c>
      <c r="C36" s="139" t="s">
        <v>439</v>
      </c>
      <c r="D36" s="95">
        <f t="shared" si="1"/>
        <v>1.1916448928425791E-3</v>
      </c>
      <c r="E36" t="s">
        <v>544</v>
      </c>
      <c r="F36" s="95">
        <f t="shared" si="2"/>
        <v>1.1168618904930537E-2</v>
      </c>
      <c r="G36" s="136">
        <f t="shared" si="0"/>
        <v>3306.6384394374718</v>
      </c>
      <c r="H36" s="187">
        <v>66211</v>
      </c>
      <c r="I36" s="89">
        <v>66130</v>
      </c>
      <c r="J36" s="89">
        <v>4700</v>
      </c>
      <c r="K36" s="89">
        <v>4645</v>
      </c>
      <c r="L36" s="89">
        <v>4515</v>
      </c>
      <c r="M36" s="89">
        <v>4495</v>
      </c>
      <c r="N36" s="89">
        <v>218668000</v>
      </c>
      <c r="O36" s="113" t="s">
        <v>439</v>
      </c>
      <c r="P36" s="256">
        <v>66211</v>
      </c>
      <c r="Q36" s="258">
        <v>66</v>
      </c>
      <c r="R36" s="258">
        <v>66.2</v>
      </c>
      <c r="S36" s="258">
        <v>66.5</v>
      </c>
      <c r="T36" s="258">
        <v>66.599999999999994</v>
      </c>
      <c r="U36" s="258">
        <v>66.8</v>
      </c>
      <c r="V36" s="258">
        <v>66.900000000000006</v>
      </c>
      <c r="W36" s="258">
        <v>66.900000000000006</v>
      </c>
      <c r="X36" s="258">
        <v>67</v>
      </c>
      <c r="Y36" s="258">
        <v>67</v>
      </c>
      <c r="Z36" s="258">
        <v>67</v>
      </c>
    </row>
    <row r="37" spans="1:26" ht="13.15" x14ac:dyDescent="0.25">
      <c r="A37" t="s">
        <v>692</v>
      </c>
      <c r="C37" s="139" t="s">
        <v>245</v>
      </c>
      <c r="D37" s="95">
        <f t="shared" si="1"/>
        <v>-5.0439736836155637E-3</v>
      </c>
      <c r="E37" t="s">
        <v>173</v>
      </c>
      <c r="F37" s="95">
        <f t="shared" si="2"/>
        <v>1.505302771125556E-2</v>
      </c>
      <c r="G37" s="136">
        <f t="shared" si="0"/>
        <v>648.63841820489415</v>
      </c>
      <c r="H37" s="187">
        <v>44231</v>
      </c>
      <c r="I37" s="89">
        <v>44911</v>
      </c>
      <c r="J37" s="89">
        <v>3765</v>
      </c>
      <c r="K37" s="89">
        <v>3690</v>
      </c>
      <c r="L37" s="89">
        <v>3615</v>
      </c>
      <c r="M37" s="89">
        <v>3545</v>
      </c>
      <c r="N37" s="89">
        <v>29131000</v>
      </c>
      <c r="O37" s="113" t="s">
        <v>245</v>
      </c>
      <c r="P37" s="256">
        <v>44231</v>
      </c>
      <c r="Q37" s="258">
        <v>44.3</v>
      </c>
      <c r="R37" s="258">
        <v>44.2</v>
      </c>
      <c r="S37" s="258">
        <v>44</v>
      </c>
      <c r="T37" s="258">
        <v>43.7</v>
      </c>
      <c r="U37" s="258">
        <v>43.4</v>
      </c>
      <c r="V37" s="258">
        <v>43.2</v>
      </c>
      <c r="W37" s="258">
        <v>42.9</v>
      </c>
      <c r="X37" s="258">
        <v>42.6</v>
      </c>
      <c r="Y37" s="258">
        <v>42.3</v>
      </c>
      <c r="Z37" s="258">
        <v>42</v>
      </c>
    </row>
    <row r="38" spans="1:26" ht="13.15" x14ac:dyDescent="0.25">
      <c r="A38" t="s">
        <v>690</v>
      </c>
      <c r="C38" s="139" t="s">
        <v>440</v>
      </c>
      <c r="D38" s="95">
        <f t="shared" si="1"/>
        <v>4.4420941300898995E-3</v>
      </c>
      <c r="E38" t="s">
        <v>578</v>
      </c>
      <c r="F38" s="95">
        <f t="shared" si="2"/>
        <v>1.9686800894854587E-2</v>
      </c>
      <c r="G38" s="136">
        <f t="shared" si="0"/>
        <v>1378.2632038118247</v>
      </c>
      <c r="H38" s="187">
        <v>30256</v>
      </c>
      <c r="I38" s="89">
        <v>29802</v>
      </c>
      <c r="J38" s="89">
        <v>2910</v>
      </c>
      <c r="K38" s="89">
        <v>2820</v>
      </c>
      <c r="L38" s="89">
        <v>2755</v>
      </c>
      <c r="M38" s="89">
        <v>2690</v>
      </c>
      <c r="N38" s="89">
        <v>41075000</v>
      </c>
      <c r="O38" s="113" t="s">
        <v>440</v>
      </c>
      <c r="P38" s="256">
        <v>30256</v>
      </c>
      <c r="Q38" s="258">
        <v>30.4</v>
      </c>
      <c r="R38" s="258">
        <v>30.6</v>
      </c>
      <c r="S38" s="258">
        <v>30.9</v>
      </c>
      <c r="T38" s="258">
        <v>31.1</v>
      </c>
      <c r="U38" s="258">
        <v>31.2</v>
      </c>
      <c r="V38" s="258">
        <v>31.3</v>
      </c>
      <c r="W38" s="258">
        <v>31.4</v>
      </c>
      <c r="X38" s="258">
        <v>31.5</v>
      </c>
      <c r="Y38" s="258">
        <v>31.6</v>
      </c>
      <c r="Z38" s="258">
        <v>31.6</v>
      </c>
    </row>
    <row r="39" spans="1:26" ht="13.15" x14ac:dyDescent="0.25">
      <c r="A39" t="s">
        <v>690</v>
      </c>
      <c r="C39" s="139" t="s">
        <v>441</v>
      </c>
      <c r="D39" s="95">
        <f t="shared" si="1"/>
        <v>7.6263924592973433E-3</v>
      </c>
      <c r="E39" t="s">
        <v>173</v>
      </c>
      <c r="F39" s="95">
        <f t="shared" si="2"/>
        <v>2.437703141928494E-2</v>
      </c>
      <c r="G39" s="136">
        <f t="shared" si="0"/>
        <v>-594.43824923334262</v>
      </c>
      <c r="H39" s="187">
        <v>29175</v>
      </c>
      <c r="I39" s="89">
        <v>28696</v>
      </c>
      <c r="J39" s="89">
        <v>2450</v>
      </c>
      <c r="K39" s="89">
        <v>2325</v>
      </c>
      <c r="L39" s="89">
        <v>2230</v>
      </c>
      <c r="M39" s="89">
        <v>2225</v>
      </c>
      <c r="N39" s="89">
        <v>-17058000</v>
      </c>
      <c r="O39" s="113" t="s">
        <v>441</v>
      </c>
      <c r="P39" s="256">
        <v>29175</v>
      </c>
      <c r="Q39" s="258">
        <v>29.1</v>
      </c>
      <c r="R39" s="258">
        <v>29.4</v>
      </c>
      <c r="S39" s="258">
        <v>29.7</v>
      </c>
      <c r="T39" s="258">
        <v>29.9</v>
      </c>
      <c r="U39" s="258">
        <v>30.2</v>
      </c>
      <c r="V39" s="258">
        <v>30.5</v>
      </c>
      <c r="W39" s="258">
        <v>30.7</v>
      </c>
      <c r="X39" s="258">
        <v>30.9</v>
      </c>
      <c r="Y39" s="258">
        <v>31.1</v>
      </c>
      <c r="Z39" s="258">
        <v>31.4</v>
      </c>
    </row>
    <row r="40" spans="1:26" ht="13.15" x14ac:dyDescent="0.25">
      <c r="A40" t="s">
        <v>692</v>
      </c>
      <c r="C40" s="139" t="s">
        <v>246</v>
      </c>
      <c r="D40" s="95">
        <f t="shared" si="1"/>
        <v>-1.02257531660505E-4</v>
      </c>
      <c r="E40" t="s">
        <v>578</v>
      </c>
      <c r="F40" s="95">
        <f t="shared" si="2"/>
        <v>2.289077828646174E-2</v>
      </c>
      <c r="G40" s="136">
        <f t="shared" si="0"/>
        <v>3175.0874847638893</v>
      </c>
      <c r="H40" s="187">
        <v>25426</v>
      </c>
      <c r="I40" s="89">
        <v>25433</v>
      </c>
      <c r="J40" s="89">
        <v>2010</v>
      </c>
      <c r="K40" s="89">
        <v>1945</v>
      </c>
      <c r="L40" s="89">
        <v>1855</v>
      </c>
      <c r="M40" s="89">
        <v>1835</v>
      </c>
      <c r="N40" s="89">
        <v>80752000</v>
      </c>
      <c r="O40" s="113" t="s">
        <v>246</v>
      </c>
      <c r="P40" s="256">
        <v>25426</v>
      </c>
      <c r="Q40" s="258">
        <v>25.4</v>
      </c>
      <c r="R40" s="258">
        <v>25.4</v>
      </c>
      <c r="S40" s="258">
        <v>25.3</v>
      </c>
      <c r="T40" s="258">
        <v>25.2</v>
      </c>
      <c r="U40" s="258">
        <v>25.2</v>
      </c>
      <c r="V40" s="258">
        <v>25.2</v>
      </c>
      <c r="W40" s="258">
        <v>25.3</v>
      </c>
      <c r="X40" s="258">
        <v>25.3</v>
      </c>
      <c r="Y40" s="258">
        <v>25.4</v>
      </c>
      <c r="Z40" s="258">
        <v>25.4</v>
      </c>
    </row>
    <row r="41" spans="1:26" ht="13.15" x14ac:dyDescent="0.25">
      <c r="A41" t="s">
        <v>691</v>
      </c>
      <c r="C41" s="139" t="s">
        <v>324</v>
      </c>
      <c r="D41" s="95">
        <f t="shared" si="1"/>
        <v>2.9585217220365638E-3</v>
      </c>
      <c r="E41" t="s">
        <v>544</v>
      </c>
      <c r="F41" s="95">
        <f t="shared" si="2"/>
        <v>1.4566642388929352E-2</v>
      </c>
      <c r="G41" s="136">
        <f t="shared" si="0"/>
        <v>1664.3660275072784</v>
      </c>
      <c r="H41" s="187">
        <v>40696</v>
      </c>
      <c r="I41" s="89">
        <v>39844</v>
      </c>
      <c r="J41" s="89">
        <v>3545</v>
      </c>
      <c r="K41" s="89">
        <v>3475</v>
      </c>
      <c r="L41" s="89">
        <v>3365</v>
      </c>
      <c r="M41" s="89">
        <v>3345</v>
      </c>
      <c r="N41" s="89">
        <v>66315000</v>
      </c>
      <c r="O41" s="113" t="s">
        <v>324</v>
      </c>
      <c r="P41" s="256">
        <v>40696</v>
      </c>
      <c r="Q41" s="258">
        <v>40.700000000000003</v>
      </c>
      <c r="R41" s="258">
        <v>41</v>
      </c>
      <c r="S41" s="258">
        <v>41.2</v>
      </c>
      <c r="T41" s="258">
        <v>41.4</v>
      </c>
      <c r="U41" s="258">
        <v>41.4</v>
      </c>
      <c r="V41" s="258">
        <v>41.5</v>
      </c>
      <c r="W41" s="258">
        <v>41.5</v>
      </c>
      <c r="X41" s="258">
        <v>41.6</v>
      </c>
      <c r="Y41" s="258">
        <v>41.7</v>
      </c>
      <c r="Z41" s="258">
        <v>41.9</v>
      </c>
    </row>
    <row r="42" spans="1:26" ht="13.15" x14ac:dyDescent="0.25">
      <c r="A42" t="s">
        <v>694</v>
      </c>
      <c r="C42" s="139" t="s">
        <v>368</v>
      </c>
      <c r="D42" s="95">
        <f t="shared" si="1"/>
        <v>-1.1056932902959963E-3</v>
      </c>
      <c r="E42" t="s">
        <v>578</v>
      </c>
      <c r="F42" s="95">
        <f t="shared" si="2"/>
        <v>2.2607781282860149E-2</v>
      </c>
      <c r="G42" s="136">
        <f t="shared" si="0"/>
        <v>386.74815275188178</v>
      </c>
      <c r="H42" s="187">
        <v>29122</v>
      </c>
      <c r="I42" s="89">
        <v>28962</v>
      </c>
      <c r="J42" s="89">
        <v>2485</v>
      </c>
      <c r="K42" s="89">
        <v>2400</v>
      </c>
      <c r="L42" s="89">
        <v>2355</v>
      </c>
      <c r="M42" s="89">
        <v>2270</v>
      </c>
      <c r="N42" s="89">
        <v>11201000</v>
      </c>
      <c r="O42" s="113" t="s">
        <v>368</v>
      </c>
      <c r="P42" s="256">
        <v>29122</v>
      </c>
      <c r="Q42" s="258">
        <v>28.6</v>
      </c>
      <c r="R42" s="258">
        <v>28.7</v>
      </c>
      <c r="S42" s="258">
        <v>28.8</v>
      </c>
      <c r="T42" s="258">
        <v>28.9</v>
      </c>
      <c r="U42" s="258">
        <v>29.1</v>
      </c>
      <c r="V42" s="258">
        <v>29.2</v>
      </c>
      <c r="W42" s="258">
        <v>29.2</v>
      </c>
      <c r="X42" s="258">
        <v>29.1</v>
      </c>
      <c r="Y42" s="258">
        <v>28.9</v>
      </c>
      <c r="Z42" s="258">
        <v>28.8</v>
      </c>
    </row>
    <row r="43" spans="1:26" ht="13.15" x14ac:dyDescent="0.25">
      <c r="A43" t="s">
        <v>690</v>
      </c>
      <c r="C43" s="139" t="s">
        <v>442</v>
      </c>
      <c r="D43" s="95">
        <f t="shared" si="1"/>
        <v>-8.0255221574198699E-4</v>
      </c>
      <c r="E43" t="s">
        <v>578</v>
      </c>
      <c r="F43" s="95">
        <f t="shared" si="2"/>
        <v>1.7624020887728461E-2</v>
      </c>
      <c r="G43" s="136">
        <f t="shared" si="0"/>
        <v>1403.8402614646104</v>
      </c>
      <c r="H43" s="187">
        <v>20061</v>
      </c>
      <c r="I43" s="89">
        <v>19582</v>
      </c>
      <c r="J43" s="89">
        <v>1985</v>
      </c>
      <c r="K43" s="89">
        <v>1930</v>
      </c>
      <c r="L43" s="89">
        <v>1895</v>
      </c>
      <c r="M43" s="89">
        <v>1850</v>
      </c>
      <c r="N43" s="89">
        <v>27490000</v>
      </c>
      <c r="O43" s="113" t="s">
        <v>442</v>
      </c>
      <c r="P43" s="256">
        <v>20061</v>
      </c>
      <c r="Q43" s="258">
        <v>19.899999999999999</v>
      </c>
      <c r="R43" s="258">
        <v>20</v>
      </c>
      <c r="S43" s="258">
        <v>20</v>
      </c>
      <c r="T43" s="258">
        <v>20</v>
      </c>
      <c r="U43" s="258">
        <v>20</v>
      </c>
      <c r="V43" s="258">
        <v>20</v>
      </c>
      <c r="W43" s="258">
        <v>20</v>
      </c>
      <c r="X43" s="258">
        <v>19.899999999999999</v>
      </c>
      <c r="Y43" s="258">
        <v>19.899999999999999</v>
      </c>
      <c r="Z43" s="258">
        <v>19.899999999999999</v>
      </c>
    </row>
    <row r="44" spans="1:26" ht="13.15" x14ac:dyDescent="0.25">
      <c r="A44" t="s">
        <v>691</v>
      </c>
      <c r="C44" s="139" t="s">
        <v>325</v>
      </c>
      <c r="D44" s="95">
        <f t="shared" si="1"/>
        <v>1.2811457720227584E-2</v>
      </c>
      <c r="E44" t="s">
        <v>578</v>
      </c>
      <c r="F44" s="95">
        <f t="shared" si="2"/>
        <v>3.6303630363036306E-2</v>
      </c>
      <c r="G44" s="136">
        <f t="shared" si="0"/>
        <v>3414.1402965257798</v>
      </c>
      <c r="H44" s="187">
        <v>10194</v>
      </c>
      <c r="I44" s="89">
        <v>9038</v>
      </c>
      <c r="J44" s="89">
        <v>1240</v>
      </c>
      <c r="K44" s="89">
        <v>1140</v>
      </c>
      <c r="L44" s="89">
        <v>1090</v>
      </c>
      <c r="M44" s="89">
        <v>1075</v>
      </c>
      <c r="N44" s="89">
        <v>30857000</v>
      </c>
      <c r="O44" s="113" t="s">
        <v>325</v>
      </c>
      <c r="P44" s="256">
        <v>10194</v>
      </c>
      <c r="Q44" s="258">
        <v>9.9</v>
      </c>
      <c r="R44" s="258">
        <v>10.1</v>
      </c>
      <c r="S44" s="258">
        <v>10.4</v>
      </c>
      <c r="T44" s="258">
        <v>10.6</v>
      </c>
      <c r="U44" s="258">
        <v>10.8</v>
      </c>
      <c r="V44" s="258">
        <v>11</v>
      </c>
      <c r="W44" s="258">
        <v>11.1</v>
      </c>
      <c r="X44" s="258">
        <v>11.2</v>
      </c>
      <c r="Y44" s="258">
        <v>11.3</v>
      </c>
      <c r="Z44" s="258">
        <v>11.5</v>
      </c>
    </row>
    <row r="45" spans="1:26" ht="13.15" x14ac:dyDescent="0.25">
      <c r="A45" t="s">
        <v>691</v>
      </c>
      <c r="C45" s="139" t="s">
        <v>326</v>
      </c>
      <c r="D45" s="95">
        <f t="shared" si="1"/>
        <v>-4.0567773591518438E-3</v>
      </c>
      <c r="E45" t="s">
        <v>578</v>
      </c>
      <c r="F45" s="95">
        <f t="shared" si="2"/>
        <v>2.8335909325090159E-2</v>
      </c>
      <c r="G45" s="136">
        <f t="shared" si="0"/>
        <v>1043.2081973159231</v>
      </c>
      <c r="H45" s="187">
        <v>22826</v>
      </c>
      <c r="I45" s="89">
        <v>22056</v>
      </c>
      <c r="J45" s="89">
        <v>2565</v>
      </c>
      <c r="K45" s="89">
        <v>2480</v>
      </c>
      <c r="L45" s="89">
        <v>2370</v>
      </c>
      <c r="M45" s="89">
        <v>2290</v>
      </c>
      <c r="N45" s="89">
        <v>23009000</v>
      </c>
      <c r="O45" s="113" t="s">
        <v>326</v>
      </c>
      <c r="P45" s="256">
        <v>22826</v>
      </c>
      <c r="Q45" s="258">
        <v>22.3</v>
      </c>
      <c r="R45" s="258">
        <v>22.3</v>
      </c>
      <c r="S45" s="258">
        <v>22.3</v>
      </c>
      <c r="T45" s="258">
        <v>22.3</v>
      </c>
      <c r="U45" s="258">
        <v>22.2</v>
      </c>
      <c r="V45" s="258">
        <v>22</v>
      </c>
      <c r="W45" s="258">
        <v>22</v>
      </c>
      <c r="X45" s="258">
        <v>21.9</v>
      </c>
      <c r="Y45" s="258">
        <v>21.9</v>
      </c>
      <c r="Z45" s="258">
        <v>21.9</v>
      </c>
    </row>
    <row r="46" spans="1:26" ht="13.15" x14ac:dyDescent="0.25">
      <c r="A46" t="s">
        <v>694</v>
      </c>
      <c r="C46" s="139" t="s">
        <v>369</v>
      </c>
      <c r="D46" s="95">
        <f t="shared" si="1"/>
        <v>-1.8706827547359996E-3</v>
      </c>
      <c r="E46" t="s">
        <v>578</v>
      </c>
      <c r="F46" s="95">
        <f t="shared" si="2"/>
        <v>3.2093362509117436E-2</v>
      </c>
      <c r="G46" s="136">
        <f t="shared" si="0"/>
        <v>3621.6117439239811</v>
      </c>
      <c r="H46" s="187">
        <v>33731</v>
      </c>
      <c r="I46" s="89">
        <v>32834</v>
      </c>
      <c r="J46" s="89">
        <v>3670</v>
      </c>
      <c r="K46" s="89">
        <v>3480</v>
      </c>
      <c r="L46" s="89">
        <v>3330</v>
      </c>
      <c r="M46" s="89">
        <v>3230</v>
      </c>
      <c r="N46" s="89">
        <v>118912000</v>
      </c>
      <c r="O46" s="113" t="s">
        <v>369</v>
      </c>
      <c r="P46" s="256">
        <v>33731</v>
      </c>
      <c r="Q46" s="258">
        <v>33.299999999999997</v>
      </c>
      <c r="R46" s="258">
        <v>33.299999999999997</v>
      </c>
      <c r="S46" s="258">
        <v>33.4</v>
      </c>
      <c r="T46" s="258">
        <v>33.4</v>
      </c>
      <c r="U46" s="258">
        <v>33.4</v>
      </c>
      <c r="V46" s="258">
        <v>33.4</v>
      </c>
      <c r="W46" s="258">
        <v>33.299999999999997</v>
      </c>
      <c r="X46" s="258">
        <v>33.299999999999997</v>
      </c>
      <c r="Y46" s="258">
        <v>33.200000000000003</v>
      </c>
      <c r="Z46" s="258">
        <v>33.1</v>
      </c>
    </row>
    <row r="47" spans="1:26" ht="13.15" x14ac:dyDescent="0.25">
      <c r="A47" t="s">
        <v>690</v>
      </c>
      <c r="C47" s="139" t="s">
        <v>443</v>
      </c>
      <c r="D47" s="95">
        <f t="shared" si="1"/>
        <v>2.7561701719005091E-3</v>
      </c>
      <c r="E47" t="s">
        <v>578</v>
      </c>
      <c r="F47" s="95">
        <f t="shared" si="2"/>
        <v>9.768009768009768E-3</v>
      </c>
      <c r="G47" s="136">
        <f t="shared" si="0"/>
        <v>2932.6778368616433</v>
      </c>
      <c r="H47" s="187">
        <v>10413</v>
      </c>
      <c r="I47" s="89">
        <v>9967</v>
      </c>
      <c r="J47" s="89">
        <v>1055</v>
      </c>
      <c r="K47" s="89">
        <v>1010</v>
      </c>
      <c r="L47" s="89">
        <v>1015</v>
      </c>
      <c r="M47" s="89">
        <v>1015</v>
      </c>
      <c r="N47" s="89">
        <v>29230000</v>
      </c>
      <c r="O47" s="113" t="s">
        <v>443</v>
      </c>
      <c r="P47" s="256">
        <v>10413</v>
      </c>
      <c r="Q47" s="258">
        <v>10.3</v>
      </c>
      <c r="R47" s="258">
        <v>10.4</v>
      </c>
      <c r="S47" s="258">
        <v>10.4</v>
      </c>
      <c r="T47" s="258">
        <v>10.5</v>
      </c>
      <c r="U47" s="258">
        <v>10.5</v>
      </c>
      <c r="V47" s="258">
        <v>10.5</v>
      </c>
      <c r="W47" s="258">
        <v>10.5</v>
      </c>
      <c r="X47" s="258">
        <v>10.6</v>
      </c>
      <c r="Y47" s="258">
        <v>10.6</v>
      </c>
      <c r="Z47" s="258">
        <v>10.7</v>
      </c>
    </row>
    <row r="48" spans="1:26" ht="13.15" x14ac:dyDescent="0.25">
      <c r="A48" t="s">
        <v>689</v>
      </c>
      <c r="C48" s="139" t="s">
        <v>163</v>
      </c>
      <c r="D48" s="95">
        <f t="shared" si="1"/>
        <v>-2.9777164267402881E-3</v>
      </c>
      <c r="E48" t="s">
        <v>173</v>
      </c>
      <c r="F48" s="95">
        <f t="shared" si="2"/>
        <v>1.8948655256723717E-2</v>
      </c>
      <c r="G48" s="136">
        <f t="shared" si="0"/>
        <v>1337.1746780617966</v>
      </c>
      <c r="H48" s="187">
        <v>25355</v>
      </c>
      <c r="I48" s="89">
        <v>25859</v>
      </c>
      <c r="J48" s="89">
        <v>2145</v>
      </c>
      <c r="K48" s="89">
        <v>2040</v>
      </c>
      <c r="L48" s="89">
        <v>2005</v>
      </c>
      <c r="M48" s="89">
        <v>1990</v>
      </c>
      <c r="N48" s="89">
        <v>34578000</v>
      </c>
      <c r="O48" s="113" t="s">
        <v>163</v>
      </c>
      <c r="P48" s="256">
        <v>25355</v>
      </c>
      <c r="Q48" s="258">
        <v>25.6</v>
      </c>
      <c r="R48" s="258">
        <v>25.5</v>
      </c>
      <c r="S48" s="258">
        <v>25.3</v>
      </c>
      <c r="T48" s="258">
        <v>25.1</v>
      </c>
      <c r="U48" s="258">
        <v>24.9</v>
      </c>
      <c r="V48" s="258">
        <v>24.9</v>
      </c>
      <c r="W48" s="258">
        <v>24.8</v>
      </c>
      <c r="X48" s="258">
        <v>24.7</v>
      </c>
      <c r="Y48" s="258">
        <v>24.6</v>
      </c>
      <c r="Z48" s="258">
        <v>24.6</v>
      </c>
    </row>
    <row r="49" spans="1:29" ht="13.15" x14ac:dyDescent="0.25">
      <c r="A49" t="s">
        <v>695</v>
      </c>
      <c r="C49" s="139" t="s">
        <v>218</v>
      </c>
      <c r="D49" s="95">
        <f t="shared" si="1"/>
        <v>2.2109141954728901E-3</v>
      </c>
      <c r="E49" t="s">
        <v>578</v>
      </c>
      <c r="F49" s="95">
        <f t="shared" si="2"/>
        <v>4.4554455445544552E-2</v>
      </c>
      <c r="G49" s="136">
        <f t="shared" si="0"/>
        <v>3989.0669878625035</v>
      </c>
      <c r="H49" s="187">
        <v>22796</v>
      </c>
      <c r="I49" s="89">
        <v>21586</v>
      </c>
      <c r="J49" s="89">
        <v>1670</v>
      </c>
      <c r="K49" s="89">
        <v>1560</v>
      </c>
      <c r="L49" s="89">
        <v>1430</v>
      </c>
      <c r="M49" s="89">
        <v>1400</v>
      </c>
      <c r="N49" s="89">
        <v>86108000</v>
      </c>
      <c r="O49" s="113" t="s">
        <v>218</v>
      </c>
      <c r="P49" s="257">
        <v>22796</v>
      </c>
      <c r="Q49" s="258">
        <v>22.7</v>
      </c>
      <c r="R49" s="258">
        <v>23</v>
      </c>
      <c r="S49" s="258">
        <v>23</v>
      </c>
      <c r="T49" s="258">
        <v>23.1</v>
      </c>
      <c r="U49" s="258">
        <v>23.1</v>
      </c>
      <c r="V49" s="258">
        <v>23.2</v>
      </c>
      <c r="W49" s="258">
        <v>23.2</v>
      </c>
      <c r="X49" s="258">
        <v>23.2</v>
      </c>
      <c r="Y49" s="258">
        <v>23.3</v>
      </c>
      <c r="Z49" s="258">
        <v>23.3</v>
      </c>
    </row>
    <row r="50" spans="1:29" ht="13.15" x14ac:dyDescent="0.25">
      <c r="A50" t="s">
        <v>701</v>
      </c>
      <c r="C50" s="139" t="s">
        <v>421</v>
      </c>
      <c r="D50" s="95">
        <f t="shared" si="1"/>
        <v>-3.4561805678010936E-3</v>
      </c>
      <c r="E50" t="s">
        <v>578</v>
      </c>
      <c r="F50" s="95">
        <f t="shared" si="2"/>
        <v>1.804123711340206E-2</v>
      </c>
      <c r="G50" s="136">
        <f t="shared" si="0"/>
        <v>629.43199858881633</v>
      </c>
      <c r="H50" s="187">
        <v>22684</v>
      </c>
      <c r="I50" s="89">
        <v>22676</v>
      </c>
      <c r="J50" s="89">
        <v>2015</v>
      </c>
      <c r="K50" s="89">
        <v>1970</v>
      </c>
      <c r="L50" s="89">
        <v>1900</v>
      </c>
      <c r="M50" s="89">
        <v>1875</v>
      </c>
      <c r="N50" s="89">
        <v>14273000</v>
      </c>
      <c r="O50" s="113" t="s">
        <v>421</v>
      </c>
      <c r="P50" s="256">
        <v>22684</v>
      </c>
      <c r="Q50" s="258">
        <v>22.5</v>
      </c>
      <c r="R50" s="258">
        <v>22.4</v>
      </c>
      <c r="S50" s="258">
        <v>22.4</v>
      </c>
      <c r="T50" s="258">
        <v>22.4</v>
      </c>
      <c r="U50" s="258">
        <v>22.2</v>
      </c>
      <c r="V50" s="258">
        <v>22.1</v>
      </c>
      <c r="W50" s="258">
        <v>22.1</v>
      </c>
      <c r="X50" s="258">
        <v>22</v>
      </c>
      <c r="Y50" s="258">
        <v>21.9</v>
      </c>
      <c r="Z50" s="258">
        <v>21.9</v>
      </c>
      <c r="AB50" s="119"/>
      <c r="AC50" s="119"/>
    </row>
    <row r="51" spans="1:29" ht="13.15" x14ac:dyDescent="0.25">
      <c r="A51" t="s">
        <v>690</v>
      </c>
      <c r="C51" s="139" t="s">
        <v>444</v>
      </c>
      <c r="D51" s="95">
        <f t="shared" si="1"/>
        <v>9.7844632473275545E-4</v>
      </c>
      <c r="E51" t="s">
        <v>173</v>
      </c>
      <c r="F51" s="95">
        <f t="shared" si="2"/>
        <v>2.0783847980997625E-2</v>
      </c>
      <c r="G51" s="136">
        <f t="shared" si="0"/>
        <v>2565.3414093037995</v>
      </c>
      <c r="H51" s="187">
        <v>28719</v>
      </c>
      <c r="I51" s="89">
        <v>28397</v>
      </c>
      <c r="J51" s="89">
        <v>2200</v>
      </c>
      <c r="K51" s="89">
        <v>2125</v>
      </c>
      <c r="L51" s="89">
        <v>2070</v>
      </c>
      <c r="M51" s="89">
        <v>2025</v>
      </c>
      <c r="N51" s="89">
        <v>72848000</v>
      </c>
      <c r="O51" s="113" t="s">
        <v>444</v>
      </c>
      <c r="P51" s="256">
        <v>28719</v>
      </c>
      <c r="Q51" s="258">
        <v>29</v>
      </c>
      <c r="R51" s="258">
        <v>29.2</v>
      </c>
      <c r="S51" s="258">
        <v>29.1</v>
      </c>
      <c r="T51" s="258">
        <v>29.1</v>
      </c>
      <c r="U51" s="258">
        <v>29.1</v>
      </c>
      <c r="V51" s="258">
        <v>29.1</v>
      </c>
      <c r="W51" s="258">
        <v>29.1</v>
      </c>
      <c r="X51" s="258">
        <v>29.1</v>
      </c>
      <c r="Y51" s="258">
        <v>29</v>
      </c>
      <c r="Z51" s="258">
        <v>29</v>
      </c>
    </row>
    <row r="52" spans="1:29" ht="13.15" x14ac:dyDescent="0.25">
      <c r="A52" t="s">
        <v>690</v>
      </c>
      <c r="C52" s="139" t="s">
        <v>445</v>
      </c>
      <c r="D52" s="95">
        <f t="shared" si="1"/>
        <v>2.060779966088431E-3</v>
      </c>
      <c r="E52" t="s">
        <v>173</v>
      </c>
      <c r="F52" s="95">
        <f t="shared" si="2"/>
        <v>1.7902813299232736E-2</v>
      </c>
      <c r="G52" s="136">
        <f t="shared" si="0"/>
        <v>1259.6090344736494</v>
      </c>
      <c r="H52" s="187">
        <v>30668</v>
      </c>
      <c r="I52" s="89">
        <v>30284</v>
      </c>
      <c r="J52" s="89">
        <v>2555</v>
      </c>
      <c r="K52" s="89">
        <v>2460</v>
      </c>
      <c r="L52" s="89">
        <v>2380</v>
      </c>
      <c r="M52" s="89">
        <v>2380</v>
      </c>
      <c r="N52" s="89">
        <v>38146000</v>
      </c>
      <c r="O52" s="113" t="s">
        <v>445</v>
      </c>
      <c r="P52" s="256">
        <v>30668</v>
      </c>
      <c r="Q52" s="258">
        <v>30.6</v>
      </c>
      <c r="R52" s="258">
        <v>30.7</v>
      </c>
      <c r="S52" s="258">
        <v>30.8</v>
      </c>
      <c r="T52" s="258">
        <v>30.9</v>
      </c>
      <c r="U52" s="258">
        <v>31</v>
      </c>
      <c r="V52" s="258">
        <v>31</v>
      </c>
      <c r="W52" s="258">
        <v>31.1</v>
      </c>
      <c r="X52" s="258">
        <v>31.2</v>
      </c>
      <c r="Y52" s="258">
        <v>31.2</v>
      </c>
      <c r="Z52" s="258">
        <v>31.3</v>
      </c>
    </row>
    <row r="53" spans="1:29" s="119" customFormat="1" ht="13.15" x14ac:dyDescent="0.25">
      <c r="A53" s="119" t="s">
        <v>690</v>
      </c>
      <c r="C53" s="139" t="s">
        <v>446</v>
      </c>
      <c r="D53" s="95">
        <f t="shared" si="1"/>
        <v>7.617479223315844E-3</v>
      </c>
      <c r="E53" t="s">
        <v>544</v>
      </c>
      <c r="F53" s="95">
        <f t="shared" si="2"/>
        <v>2.5685884691848907E-2</v>
      </c>
      <c r="G53" s="136">
        <f t="shared" si="0"/>
        <v>2367.0840868249047</v>
      </c>
      <c r="H53" s="187">
        <v>182777</v>
      </c>
      <c r="I53" s="89">
        <v>176401</v>
      </c>
      <c r="J53" s="89">
        <v>16570</v>
      </c>
      <c r="K53" s="89">
        <v>16040</v>
      </c>
      <c r="L53" s="89">
        <v>15310</v>
      </c>
      <c r="M53" s="89">
        <v>14955</v>
      </c>
      <c r="N53" s="89">
        <v>417556000</v>
      </c>
      <c r="O53" s="113" t="s">
        <v>446</v>
      </c>
      <c r="P53" s="256">
        <v>182777</v>
      </c>
      <c r="Q53" s="258">
        <v>184.7</v>
      </c>
      <c r="R53" s="258">
        <v>186.5</v>
      </c>
      <c r="S53" s="258">
        <v>188</v>
      </c>
      <c r="T53" s="258">
        <v>189.5</v>
      </c>
      <c r="U53" s="258">
        <v>190.9</v>
      </c>
      <c r="V53" s="258">
        <v>192.2</v>
      </c>
      <c r="W53" s="258">
        <v>193.4</v>
      </c>
      <c r="X53" s="258">
        <v>194.6</v>
      </c>
      <c r="Y53" s="258">
        <v>195.6</v>
      </c>
      <c r="Z53" s="258">
        <v>196.7</v>
      </c>
      <c r="AB53"/>
      <c r="AC53"/>
    </row>
    <row r="54" spans="1:29" ht="13.15" x14ac:dyDescent="0.25">
      <c r="A54" t="s">
        <v>694</v>
      </c>
      <c r="C54" s="139" t="s">
        <v>370</v>
      </c>
      <c r="D54" s="95">
        <f t="shared" si="1"/>
        <v>5.1256162024113554E-3</v>
      </c>
      <c r="E54" t="s">
        <v>578</v>
      </c>
      <c r="F54" s="95">
        <f t="shared" si="2"/>
        <v>2.2179363548698167E-2</v>
      </c>
      <c r="G54" s="136">
        <f t="shared" si="0"/>
        <v>-3011.8218018914881</v>
      </c>
      <c r="H54" s="187">
        <v>16837</v>
      </c>
      <c r="I54" s="89">
        <v>16072</v>
      </c>
      <c r="J54" s="89">
        <v>1370</v>
      </c>
      <c r="K54" s="118">
        <v>1300</v>
      </c>
      <c r="L54" s="89">
        <v>1260</v>
      </c>
      <c r="M54" s="118">
        <v>1255</v>
      </c>
      <c r="N54" s="89">
        <v>-48406000</v>
      </c>
      <c r="O54" s="118" t="s">
        <v>370</v>
      </c>
      <c r="P54" s="256">
        <v>16837</v>
      </c>
      <c r="Q54" s="258">
        <v>16.8</v>
      </c>
      <c r="R54" s="258">
        <v>17</v>
      </c>
      <c r="S54" s="258">
        <v>17.2</v>
      </c>
      <c r="T54" s="258">
        <v>17.2</v>
      </c>
      <c r="U54" s="258">
        <v>17.2</v>
      </c>
      <c r="V54" s="258">
        <v>17.3</v>
      </c>
      <c r="W54" s="258">
        <v>17.399999999999999</v>
      </c>
      <c r="X54" s="258">
        <v>17.5</v>
      </c>
      <c r="Y54" s="258">
        <v>17.600000000000001</v>
      </c>
      <c r="Z54" s="258">
        <v>17.7</v>
      </c>
    </row>
    <row r="55" spans="1:29" ht="13.15" x14ac:dyDescent="0.25">
      <c r="A55" t="s">
        <v>692</v>
      </c>
      <c r="C55" s="139" t="s">
        <v>247</v>
      </c>
      <c r="D55" s="95">
        <f t="shared" si="1"/>
        <v>-7.7379317919710035E-3</v>
      </c>
      <c r="E55" t="s">
        <v>578</v>
      </c>
      <c r="F55" s="95">
        <f t="shared" si="2"/>
        <v>1.794960303762513E-2</v>
      </c>
      <c r="G55" s="136">
        <f t="shared" si="0"/>
        <v>104.29742795331322</v>
      </c>
      <c r="H55" s="187">
        <v>36418</v>
      </c>
      <c r="I55" s="89">
        <v>37441</v>
      </c>
      <c r="J55" s="89">
        <v>3765</v>
      </c>
      <c r="K55" s="89">
        <v>3655</v>
      </c>
      <c r="L55" s="89">
        <v>3560</v>
      </c>
      <c r="M55" s="89">
        <v>3505</v>
      </c>
      <c r="N55" s="89">
        <v>3905000</v>
      </c>
      <c r="O55" s="113" t="s">
        <v>247</v>
      </c>
      <c r="P55" s="256">
        <v>36418</v>
      </c>
      <c r="Q55" s="258">
        <v>36.299999999999997</v>
      </c>
      <c r="R55" s="258">
        <v>36</v>
      </c>
      <c r="S55" s="258">
        <v>35.799999999999997</v>
      </c>
      <c r="T55" s="258">
        <v>35.6</v>
      </c>
      <c r="U55" s="258">
        <v>35.299999999999997</v>
      </c>
      <c r="V55" s="258">
        <v>35</v>
      </c>
      <c r="W55" s="258">
        <v>34.6</v>
      </c>
      <c r="X55" s="258">
        <v>34.299999999999997</v>
      </c>
      <c r="Y55" s="258">
        <v>33.9</v>
      </c>
      <c r="Z55" s="258">
        <v>33.6</v>
      </c>
    </row>
    <row r="56" spans="1:29" ht="13.15" x14ac:dyDescent="0.25">
      <c r="A56" t="s">
        <v>692</v>
      </c>
      <c r="C56" s="139" t="s">
        <v>248</v>
      </c>
      <c r="D56" s="95">
        <f t="shared" si="1"/>
        <v>1.7274472168905949E-3</v>
      </c>
      <c r="E56" t="s">
        <v>578</v>
      </c>
      <c r="F56" s="95">
        <f t="shared" si="2"/>
        <v>2.2798742138364778E-2</v>
      </c>
      <c r="G56" s="136">
        <f t="shared" si="0"/>
        <v>1851.7372344914897</v>
      </c>
      <c r="H56" s="187">
        <v>20840</v>
      </c>
      <c r="I56" s="89">
        <v>21327</v>
      </c>
      <c r="J56" s="89">
        <v>1680</v>
      </c>
      <c r="K56" s="89">
        <v>1600</v>
      </c>
      <c r="L56" s="89">
        <v>1545</v>
      </c>
      <c r="M56" s="89">
        <v>1535</v>
      </c>
      <c r="N56" s="89">
        <v>39492000</v>
      </c>
      <c r="O56" s="113" t="s">
        <v>248</v>
      </c>
      <c r="P56" s="256">
        <v>20840</v>
      </c>
      <c r="Q56" s="258">
        <v>21</v>
      </c>
      <c r="R56" s="258">
        <v>21</v>
      </c>
      <c r="S56" s="258">
        <v>21.1</v>
      </c>
      <c r="T56" s="258">
        <v>21.1</v>
      </c>
      <c r="U56" s="258">
        <v>21.2</v>
      </c>
      <c r="V56" s="258">
        <v>21.2</v>
      </c>
      <c r="W56" s="258">
        <v>21.2</v>
      </c>
      <c r="X56" s="258">
        <v>21.2</v>
      </c>
      <c r="Y56" s="258">
        <v>21.2</v>
      </c>
      <c r="Z56" s="258">
        <v>21.2</v>
      </c>
    </row>
    <row r="57" spans="1:29" ht="13.15" x14ac:dyDescent="0.25">
      <c r="A57" t="s">
        <v>699</v>
      </c>
      <c r="C57" s="139" t="s">
        <v>499</v>
      </c>
      <c r="D57" s="95">
        <f t="shared" si="1"/>
        <v>-6.0973460684453536E-4</v>
      </c>
      <c r="E57" t="s">
        <v>544</v>
      </c>
      <c r="F57" s="95">
        <f t="shared" si="2"/>
        <v>8.4112149532710283E-3</v>
      </c>
      <c r="G57" s="136">
        <f t="shared" si="0"/>
        <v>-61.303469296893731</v>
      </c>
      <c r="H57" s="187">
        <v>28373</v>
      </c>
      <c r="I57" s="89">
        <v>29199</v>
      </c>
      <c r="J57" s="89">
        <v>1370</v>
      </c>
      <c r="K57" s="89">
        <v>1315</v>
      </c>
      <c r="L57" s="89">
        <v>1340</v>
      </c>
      <c r="M57" s="89">
        <v>1325</v>
      </c>
      <c r="N57" s="89">
        <v>-1790000</v>
      </c>
      <c r="O57" s="113" t="s">
        <v>499</v>
      </c>
      <c r="P57" s="256">
        <v>28373</v>
      </c>
      <c r="Q57" s="258">
        <v>28.5</v>
      </c>
      <c r="R57" s="258">
        <v>28.5</v>
      </c>
      <c r="S57" s="258">
        <v>28.4</v>
      </c>
      <c r="T57" s="258">
        <v>28.3</v>
      </c>
      <c r="U57" s="258">
        <v>28.3</v>
      </c>
      <c r="V57" s="258">
        <v>28.3</v>
      </c>
      <c r="W57" s="258">
        <v>28.3</v>
      </c>
      <c r="X57" s="258">
        <v>28.2</v>
      </c>
      <c r="Y57" s="258">
        <v>28.2</v>
      </c>
      <c r="Z57" s="258">
        <v>28.2</v>
      </c>
    </row>
    <row r="58" spans="1:29" ht="13.15" x14ac:dyDescent="0.25">
      <c r="A58" t="s">
        <v>697</v>
      </c>
      <c r="C58" s="139" t="s">
        <v>296</v>
      </c>
      <c r="D58" s="95">
        <f t="shared" si="1"/>
        <v>8.2079704407495378E-3</v>
      </c>
      <c r="E58" t="s">
        <v>578</v>
      </c>
      <c r="F58" s="95">
        <f t="shared" si="2"/>
        <v>2.6473099914602904E-2</v>
      </c>
      <c r="G58" s="136">
        <f t="shared" si="0"/>
        <v>469.9328766175351</v>
      </c>
      <c r="H58" s="187">
        <v>15156</v>
      </c>
      <c r="I58" s="89">
        <v>14451</v>
      </c>
      <c r="J58" s="89">
        <v>1550</v>
      </c>
      <c r="K58" s="89">
        <v>1495</v>
      </c>
      <c r="L58" s="89">
        <v>1415</v>
      </c>
      <c r="M58" s="89">
        <v>1395</v>
      </c>
      <c r="N58" s="89">
        <v>6791000</v>
      </c>
      <c r="O58" s="113" t="s">
        <v>296</v>
      </c>
      <c r="P58" s="256">
        <v>15156</v>
      </c>
      <c r="Q58" s="258">
        <v>15.1</v>
      </c>
      <c r="R58" s="258">
        <v>15.2</v>
      </c>
      <c r="S58" s="258">
        <v>15.4</v>
      </c>
      <c r="T58" s="258">
        <v>15.5</v>
      </c>
      <c r="U58" s="258">
        <v>15.6</v>
      </c>
      <c r="V58" s="258">
        <v>15.7</v>
      </c>
      <c r="W58" s="258">
        <v>15.8</v>
      </c>
      <c r="X58" s="258">
        <v>16</v>
      </c>
      <c r="Y58" s="258">
        <v>16.2</v>
      </c>
      <c r="Z58" s="258">
        <v>16.399999999999999</v>
      </c>
    </row>
    <row r="59" spans="1:29" ht="13.15" x14ac:dyDescent="0.25">
      <c r="A59" t="s">
        <v>697</v>
      </c>
      <c r="C59" s="139" t="s">
        <v>297</v>
      </c>
      <c r="D59" s="95">
        <f t="shared" si="1"/>
        <v>9.8848825040433845E-3</v>
      </c>
      <c r="E59" t="s">
        <v>578</v>
      </c>
      <c r="F59" s="95">
        <f t="shared" si="2"/>
        <v>2.620967741935484E-2</v>
      </c>
      <c r="G59" s="136">
        <f t="shared" si="0"/>
        <v>1779.6534653465346</v>
      </c>
      <c r="H59" s="187">
        <v>21022</v>
      </c>
      <c r="I59" s="89">
        <v>20200</v>
      </c>
      <c r="J59" s="89">
        <v>1970</v>
      </c>
      <c r="K59" s="89">
        <v>1880</v>
      </c>
      <c r="L59" s="89">
        <v>1815</v>
      </c>
      <c r="M59" s="89">
        <v>1775</v>
      </c>
      <c r="N59" s="89">
        <v>35949000</v>
      </c>
      <c r="O59" s="113" t="s">
        <v>297</v>
      </c>
      <c r="P59" s="256">
        <v>21022</v>
      </c>
      <c r="Q59" s="258">
        <v>21.1</v>
      </c>
      <c r="R59" s="258">
        <v>21.3</v>
      </c>
      <c r="S59" s="258">
        <v>21.4</v>
      </c>
      <c r="T59" s="258">
        <v>21.7</v>
      </c>
      <c r="U59" s="258">
        <v>22</v>
      </c>
      <c r="V59" s="258">
        <v>22.2</v>
      </c>
      <c r="W59" s="258">
        <v>22.5</v>
      </c>
      <c r="X59" s="258">
        <v>22.7</v>
      </c>
      <c r="Y59" s="258">
        <v>22.9</v>
      </c>
      <c r="Z59" s="258">
        <v>23.1</v>
      </c>
    </row>
    <row r="60" spans="1:29" ht="13.15" x14ac:dyDescent="0.25">
      <c r="A60" t="s">
        <v>692</v>
      </c>
      <c r="C60" s="139" t="s">
        <v>249</v>
      </c>
      <c r="D60" s="95">
        <f t="shared" si="1"/>
        <v>-1.3207833611659327E-3</v>
      </c>
      <c r="E60" t="s">
        <v>578</v>
      </c>
      <c r="F60" s="95">
        <f t="shared" si="2"/>
        <v>1.1935208866155157E-2</v>
      </c>
      <c r="G60" s="136">
        <f t="shared" si="0"/>
        <v>513.04481868280084</v>
      </c>
      <c r="H60" s="187">
        <v>26348</v>
      </c>
      <c r="I60" s="89">
        <v>25949</v>
      </c>
      <c r="J60" s="89">
        <v>3005</v>
      </c>
      <c r="K60" s="89">
        <v>2975</v>
      </c>
      <c r="L60" s="89">
        <v>2885</v>
      </c>
      <c r="M60" s="89">
        <v>2865</v>
      </c>
      <c r="N60" s="89">
        <v>13313000</v>
      </c>
      <c r="O60" s="113" t="s">
        <v>249</v>
      </c>
      <c r="P60" s="256">
        <v>26348</v>
      </c>
      <c r="Q60" s="258">
        <v>26.2</v>
      </c>
      <c r="R60" s="258">
        <v>26.2</v>
      </c>
      <c r="S60" s="258">
        <v>26.2</v>
      </c>
      <c r="T60" s="258">
        <v>26.3</v>
      </c>
      <c r="U60" s="258">
        <v>26.3</v>
      </c>
      <c r="V60" s="258">
        <v>26.3</v>
      </c>
      <c r="W60" s="258">
        <v>26.2</v>
      </c>
      <c r="X60" s="258">
        <v>26.2</v>
      </c>
      <c r="Y60" s="258">
        <v>26.1</v>
      </c>
      <c r="Z60" s="258">
        <v>26</v>
      </c>
    </row>
    <row r="61" spans="1:29" ht="13.15" x14ac:dyDescent="0.25">
      <c r="A61" t="s">
        <v>694</v>
      </c>
      <c r="C61" s="139" t="s">
        <v>371</v>
      </c>
      <c r="D61" s="95">
        <f t="shared" si="1"/>
        <v>3.2432839190307773E-3</v>
      </c>
      <c r="E61" t="s">
        <v>544</v>
      </c>
      <c r="F61" s="95">
        <f t="shared" si="2"/>
        <v>1.6697104096008348E-2</v>
      </c>
      <c r="G61" s="136">
        <f t="shared" si="0"/>
        <v>61.613381325428755</v>
      </c>
      <c r="H61" s="187">
        <v>66445</v>
      </c>
      <c r="I61" s="89">
        <v>66122</v>
      </c>
      <c r="J61" s="89">
        <v>4980</v>
      </c>
      <c r="K61" s="89">
        <v>4815</v>
      </c>
      <c r="L61" s="89">
        <v>4710</v>
      </c>
      <c r="M61" s="89">
        <v>4660</v>
      </c>
      <c r="N61" s="89">
        <v>4074000</v>
      </c>
      <c r="O61" s="113" t="s">
        <v>371</v>
      </c>
      <c r="P61" s="256">
        <v>66445</v>
      </c>
      <c r="Q61" s="258">
        <v>66.8</v>
      </c>
      <c r="R61" s="258">
        <v>67</v>
      </c>
      <c r="S61" s="258">
        <v>67.2</v>
      </c>
      <c r="T61" s="258">
        <v>67.400000000000006</v>
      </c>
      <c r="U61" s="258">
        <v>67.5</v>
      </c>
      <c r="V61" s="258">
        <v>67.7</v>
      </c>
      <c r="W61" s="258">
        <v>67.900000000000006</v>
      </c>
      <c r="X61" s="258">
        <v>68.099999999999994</v>
      </c>
      <c r="Y61" s="258">
        <v>68.400000000000006</v>
      </c>
      <c r="Z61" s="258">
        <v>68.599999999999994</v>
      </c>
    </row>
    <row r="62" spans="1:29" ht="13.15" x14ac:dyDescent="0.25">
      <c r="A62" t="s">
        <v>691</v>
      </c>
      <c r="C62" s="139" t="s">
        <v>327</v>
      </c>
      <c r="D62" s="95">
        <f t="shared" si="1"/>
        <v>4.8254328697133124E-4</v>
      </c>
      <c r="E62" t="s">
        <v>578</v>
      </c>
      <c r="F62" s="95">
        <f t="shared" si="2"/>
        <v>2.8558679161088799E-2</v>
      </c>
      <c r="G62" s="136">
        <f t="shared" si="0"/>
        <v>1648.0245982479551</v>
      </c>
      <c r="H62" s="187">
        <v>35230</v>
      </c>
      <c r="I62" s="89">
        <v>34474</v>
      </c>
      <c r="J62" s="89">
        <v>2970</v>
      </c>
      <c r="K62" s="89">
        <v>2835</v>
      </c>
      <c r="L62" s="89">
        <v>2750</v>
      </c>
      <c r="M62" s="89">
        <v>2650</v>
      </c>
      <c r="N62" s="89">
        <v>56814000</v>
      </c>
      <c r="O62" s="113" t="s">
        <v>327</v>
      </c>
      <c r="P62" s="256">
        <v>35230</v>
      </c>
      <c r="Q62" s="258">
        <v>34.5</v>
      </c>
      <c r="R62" s="258">
        <v>34.5</v>
      </c>
      <c r="S62" s="258">
        <v>34.6</v>
      </c>
      <c r="T62" s="258">
        <v>34.6</v>
      </c>
      <c r="U62" s="258">
        <v>34.700000000000003</v>
      </c>
      <c r="V62" s="258">
        <v>34.799999999999997</v>
      </c>
      <c r="W62" s="258">
        <v>35</v>
      </c>
      <c r="X62" s="258">
        <v>35.200000000000003</v>
      </c>
      <c r="Y62" s="258">
        <v>35.299999999999997</v>
      </c>
      <c r="Z62" s="258">
        <v>35.4</v>
      </c>
    </row>
    <row r="63" spans="1:29" ht="13.15" x14ac:dyDescent="0.25">
      <c r="A63" t="s">
        <v>689</v>
      </c>
      <c r="C63" s="139" t="s">
        <v>164</v>
      </c>
      <c r="D63" s="95">
        <f t="shared" si="1"/>
        <v>-5.5801292956788023E-3</v>
      </c>
      <c r="E63" t="s">
        <v>173</v>
      </c>
      <c r="F63" s="95">
        <f t="shared" si="2"/>
        <v>1.1135857461024499E-2</v>
      </c>
      <c r="G63" s="136">
        <f t="shared" si="0"/>
        <v>2754.0481034530812</v>
      </c>
      <c r="H63" s="187">
        <v>35268</v>
      </c>
      <c r="I63" s="89">
        <v>35881</v>
      </c>
      <c r="J63" s="89">
        <v>2865</v>
      </c>
      <c r="K63" s="89">
        <v>2830</v>
      </c>
      <c r="L63" s="89">
        <v>2790</v>
      </c>
      <c r="M63" s="89">
        <v>2740</v>
      </c>
      <c r="N63" s="89">
        <v>98818000</v>
      </c>
      <c r="O63" s="113" t="s">
        <v>164</v>
      </c>
      <c r="P63" s="256">
        <v>35268</v>
      </c>
      <c r="Q63" s="258">
        <v>35.6</v>
      </c>
      <c r="R63" s="258">
        <v>35.4</v>
      </c>
      <c r="S63" s="258">
        <v>35.200000000000003</v>
      </c>
      <c r="T63" s="258">
        <v>35.1</v>
      </c>
      <c r="U63" s="258">
        <v>34.799999999999997</v>
      </c>
      <c r="V63" s="258">
        <v>34.5</v>
      </c>
      <c r="W63" s="258">
        <v>34.299999999999997</v>
      </c>
      <c r="X63" s="258">
        <v>33.9</v>
      </c>
      <c r="Y63" s="258">
        <v>33.6</v>
      </c>
      <c r="Z63" s="258">
        <v>33.299999999999997</v>
      </c>
    </row>
    <row r="64" spans="1:29" ht="13.15" x14ac:dyDescent="0.25">
      <c r="A64" t="s">
        <v>690</v>
      </c>
      <c r="C64" s="139" t="s">
        <v>447</v>
      </c>
      <c r="D64" s="95">
        <f t="shared" si="1"/>
        <v>4.9018659963260183E-3</v>
      </c>
      <c r="E64" t="s">
        <v>578</v>
      </c>
      <c r="F64" s="95">
        <f t="shared" si="2"/>
        <v>1.5364061456245824E-2</v>
      </c>
      <c r="G64" s="136">
        <f t="shared" si="0"/>
        <v>-213.78230227094753</v>
      </c>
      <c r="H64" s="187">
        <v>20686</v>
      </c>
      <c r="I64" s="89">
        <v>20432</v>
      </c>
      <c r="J64" s="89">
        <v>1925</v>
      </c>
      <c r="K64" s="89">
        <v>1885</v>
      </c>
      <c r="L64" s="89">
        <v>1865</v>
      </c>
      <c r="M64" s="89">
        <v>1810</v>
      </c>
      <c r="N64" s="89">
        <v>-4368000</v>
      </c>
      <c r="O64" s="113" t="s">
        <v>447</v>
      </c>
      <c r="P64" s="256">
        <v>20686</v>
      </c>
      <c r="Q64" s="258">
        <v>21.2</v>
      </c>
      <c r="R64" s="258">
        <v>21.4</v>
      </c>
      <c r="S64" s="258">
        <v>21.4</v>
      </c>
      <c r="T64" s="258">
        <v>21.4</v>
      </c>
      <c r="U64" s="258">
        <v>21.5</v>
      </c>
      <c r="V64" s="258">
        <v>21.5</v>
      </c>
      <c r="W64" s="258">
        <v>21.5</v>
      </c>
      <c r="X64" s="258">
        <v>21.6</v>
      </c>
      <c r="Y64" s="258">
        <v>21.6</v>
      </c>
      <c r="Z64" s="258">
        <v>21.7</v>
      </c>
    </row>
    <row r="65" spans="1:26" ht="13.15" x14ac:dyDescent="0.25">
      <c r="A65" t="s">
        <v>694</v>
      </c>
      <c r="C65" s="139" t="s">
        <v>372</v>
      </c>
      <c r="D65" s="95">
        <f t="shared" si="1"/>
        <v>2.3442994451824646E-5</v>
      </c>
      <c r="E65" t="s">
        <v>578</v>
      </c>
      <c r="F65" s="95">
        <f t="shared" si="2"/>
        <v>1.4418125643666324E-2</v>
      </c>
      <c r="G65" s="136">
        <f t="shared" si="0"/>
        <v>251.95618153364632</v>
      </c>
      <c r="H65" s="187">
        <v>12797</v>
      </c>
      <c r="I65" s="89">
        <v>12780</v>
      </c>
      <c r="J65" s="89">
        <v>1250</v>
      </c>
      <c r="K65" s="89">
        <v>1230</v>
      </c>
      <c r="L65" s="89">
        <v>1195</v>
      </c>
      <c r="M65" s="89">
        <v>1180</v>
      </c>
      <c r="N65" s="89">
        <v>3220000</v>
      </c>
      <c r="O65" s="113" t="s">
        <v>372</v>
      </c>
      <c r="P65" s="256">
        <v>12797</v>
      </c>
      <c r="Q65" s="258">
        <v>12.8</v>
      </c>
      <c r="R65" s="258">
        <v>12.9</v>
      </c>
      <c r="S65" s="258">
        <v>12.9</v>
      </c>
      <c r="T65" s="258">
        <v>12.9</v>
      </c>
      <c r="U65" s="258">
        <v>12.9</v>
      </c>
      <c r="V65" s="258">
        <v>12.9</v>
      </c>
      <c r="W65" s="258">
        <v>12.8</v>
      </c>
      <c r="X65" s="258">
        <v>12.8</v>
      </c>
      <c r="Y65" s="258">
        <v>12.8</v>
      </c>
      <c r="Z65" s="258">
        <v>12.8</v>
      </c>
    </row>
    <row r="66" spans="1:26" ht="13.15" x14ac:dyDescent="0.25">
      <c r="A66" t="s">
        <v>690</v>
      </c>
      <c r="C66" s="139" t="s">
        <v>448</v>
      </c>
      <c r="D66" s="95">
        <f t="shared" si="1"/>
        <v>5.6551835809415859E-3</v>
      </c>
      <c r="E66" t="s">
        <v>544</v>
      </c>
      <c r="F66" s="95">
        <f t="shared" si="2"/>
        <v>1.1931394481730051E-2</v>
      </c>
      <c r="G66" s="136">
        <f t="shared" ref="G66:G129" si="3">N66/I66</f>
        <v>478.65952612788055</v>
      </c>
      <c r="H66" s="187">
        <v>24703</v>
      </c>
      <c r="I66" s="89">
        <v>24648</v>
      </c>
      <c r="J66" s="89">
        <v>1735</v>
      </c>
      <c r="K66" s="89">
        <v>1680</v>
      </c>
      <c r="L66" s="89">
        <v>1635</v>
      </c>
      <c r="M66" s="89">
        <v>1655</v>
      </c>
      <c r="N66" s="89">
        <v>11798000</v>
      </c>
      <c r="O66" s="113" t="s">
        <v>448</v>
      </c>
      <c r="P66" s="256">
        <v>24703</v>
      </c>
      <c r="Q66" s="258">
        <v>25</v>
      </c>
      <c r="R66" s="258">
        <v>25.1</v>
      </c>
      <c r="S66" s="258">
        <v>25.3</v>
      </c>
      <c r="T66" s="258">
        <v>25.6</v>
      </c>
      <c r="U66" s="258">
        <v>25.7</v>
      </c>
      <c r="V66" s="258">
        <v>25.8</v>
      </c>
      <c r="W66" s="258">
        <v>25.9</v>
      </c>
      <c r="X66" s="258">
        <v>25.9</v>
      </c>
      <c r="Y66" s="258">
        <v>26.1</v>
      </c>
      <c r="Z66" s="258">
        <v>26.1</v>
      </c>
    </row>
    <row r="67" spans="1:26" ht="13.15" x14ac:dyDescent="0.25">
      <c r="A67" t="s">
        <v>692</v>
      </c>
      <c r="C67" s="139" t="s">
        <v>250</v>
      </c>
      <c r="D67" s="95">
        <f t="shared" ref="D67:D130" si="4">(SUM(Z67*1000,-P67)/10)/P67</f>
        <v>-9.5101381661582629E-4</v>
      </c>
      <c r="E67" t="s">
        <v>544</v>
      </c>
      <c r="F67" s="95">
        <f t="shared" si="2"/>
        <v>2.0251778872468526E-2</v>
      </c>
      <c r="G67" s="136">
        <f t="shared" si="3"/>
        <v>2094.4557035321368</v>
      </c>
      <c r="H67" s="187">
        <v>27865</v>
      </c>
      <c r="I67" s="89">
        <v>27632</v>
      </c>
      <c r="J67" s="89">
        <v>2385</v>
      </c>
      <c r="K67" s="89">
        <v>2320</v>
      </c>
      <c r="L67" s="89">
        <v>2230</v>
      </c>
      <c r="M67" s="89">
        <v>2200</v>
      </c>
      <c r="N67" s="89">
        <v>57874000</v>
      </c>
      <c r="O67" s="113" t="s">
        <v>250</v>
      </c>
      <c r="P67" s="256">
        <v>27865</v>
      </c>
      <c r="Q67" s="258">
        <v>27.4</v>
      </c>
      <c r="R67" s="258">
        <v>27.4</v>
      </c>
      <c r="S67" s="258">
        <v>27.4</v>
      </c>
      <c r="T67" s="258">
        <v>27.5</v>
      </c>
      <c r="U67" s="258">
        <v>27.6</v>
      </c>
      <c r="V67" s="258">
        <v>27.6</v>
      </c>
      <c r="W67" s="258">
        <v>27.7</v>
      </c>
      <c r="X67" s="258">
        <v>27.7</v>
      </c>
      <c r="Y67" s="258">
        <v>27.6</v>
      </c>
      <c r="Z67" s="258">
        <v>27.6</v>
      </c>
    </row>
    <row r="68" spans="1:26" ht="13.15" x14ac:dyDescent="0.25">
      <c r="A68" t="s">
        <v>695</v>
      </c>
      <c r="C68" s="139" t="s">
        <v>219</v>
      </c>
      <c r="D68" s="95">
        <f t="shared" si="4"/>
        <v>3.3131457071606698E-3</v>
      </c>
      <c r="E68" t="s">
        <v>578</v>
      </c>
      <c r="F68" s="95">
        <f t="shared" si="2"/>
        <v>2.4468085106382979E-2</v>
      </c>
      <c r="G68" s="136">
        <f t="shared" si="3"/>
        <v>-224.04491105278507</v>
      </c>
      <c r="H68" s="187">
        <v>28070</v>
      </c>
      <c r="I68" s="89">
        <v>27432</v>
      </c>
      <c r="J68" s="89">
        <v>2470</v>
      </c>
      <c r="K68" s="89">
        <v>2385</v>
      </c>
      <c r="L68" s="89">
        <v>2305</v>
      </c>
      <c r="M68" s="89">
        <v>2240</v>
      </c>
      <c r="N68" s="89">
        <v>-6146000</v>
      </c>
      <c r="O68" s="113" t="s">
        <v>219</v>
      </c>
      <c r="P68" s="256">
        <v>28070</v>
      </c>
      <c r="Q68" s="258">
        <v>27.9</v>
      </c>
      <c r="R68" s="258">
        <v>28.1</v>
      </c>
      <c r="S68" s="258">
        <v>28.2</v>
      </c>
      <c r="T68" s="258">
        <v>28.4</v>
      </c>
      <c r="U68" s="258">
        <v>28.5</v>
      </c>
      <c r="V68" s="258">
        <v>28.6</v>
      </c>
      <c r="W68" s="258">
        <v>28.7</v>
      </c>
      <c r="X68" s="258">
        <v>28.8</v>
      </c>
      <c r="Y68" s="258">
        <v>28.9</v>
      </c>
      <c r="Z68" s="258">
        <v>29</v>
      </c>
    </row>
    <row r="69" spans="1:26" ht="13.15" x14ac:dyDescent="0.25">
      <c r="A69" t="s">
        <v>693</v>
      </c>
      <c r="C69" s="139" t="s">
        <v>199</v>
      </c>
      <c r="D69" s="95">
        <f t="shared" si="4"/>
        <v>-3.9222931953756006E-3</v>
      </c>
      <c r="E69" t="s">
        <v>173</v>
      </c>
      <c r="F69" s="95">
        <f t="shared" ref="F69:F132" si="5">SUM(J69,-M69)/SUM(J69,K69,L69,M69)</f>
        <v>1.9211324570273004E-2</v>
      </c>
      <c r="G69" s="136">
        <f t="shared" si="3"/>
        <v>1012.7180232558139</v>
      </c>
      <c r="H69" s="187">
        <v>18943</v>
      </c>
      <c r="I69" s="89">
        <v>19264</v>
      </c>
      <c r="J69" s="89">
        <v>1295</v>
      </c>
      <c r="K69" s="89">
        <v>1245</v>
      </c>
      <c r="L69" s="89">
        <v>1205</v>
      </c>
      <c r="M69" s="89">
        <v>1200</v>
      </c>
      <c r="N69" s="89">
        <v>19509000</v>
      </c>
      <c r="O69" s="113" t="s">
        <v>199</v>
      </c>
      <c r="P69" s="256">
        <v>18943</v>
      </c>
      <c r="Q69" s="258">
        <v>18.899999999999999</v>
      </c>
      <c r="R69" s="258">
        <v>18.8</v>
      </c>
      <c r="S69" s="258">
        <v>18.600000000000001</v>
      </c>
      <c r="T69" s="258">
        <v>18.5</v>
      </c>
      <c r="U69" s="258">
        <v>18.5</v>
      </c>
      <c r="V69" s="258">
        <v>18.399999999999999</v>
      </c>
      <c r="W69" s="258">
        <v>18.3</v>
      </c>
      <c r="X69" s="258">
        <v>18.3</v>
      </c>
      <c r="Y69" s="258">
        <v>18.3</v>
      </c>
      <c r="Z69" s="258">
        <v>18.2</v>
      </c>
    </row>
    <row r="70" spans="1:26" ht="13.15" x14ac:dyDescent="0.25">
      <c r="A70" t="s">
        <v>697</v>
      </c>
      <c r="C70" s="139" t="s">
        <v>298</v>
      </c>
      <c r="D70" s="95">
        <f t="shared" si="4"/>
        <v>-4.1137538296031244E-3</v>
      </c>
      <c r="E70" t="s">
        <v>578</v>
      </c>
      <c r="F70" s="95">
        <f t="shared" si="5"/>
        <v>2.2796352583586626E-2</v>
      </c>
      <c r="G70" s="136">
        <f t="shared" si="3"/>
        <v>1647.4250813945198</v>
      </c>
      <c r="H70" s="187">
        <v>42759</v>
      </c>
      <c r="I70" s="89">
        <v>42079</v>
      </c>
      <c r="J70" s="89">
        <v>4320</v>
      </c>
      <c r="K70" s="89">
        <v>4160</v>
      </c>
      <c r="L70" s="89">
        <v>4025</v>
      </c>
      <c r="M70" s="89">
        <v>3945</v>
      </c>
      <c r="N70" s="89">
        <v>69322000</v>
      </c>
      <c r="O70" s="113" t="s">
        <v>298</v>
      </c>
      <c r="P70" s="256">
        <v>42759</v>
      </c>
      <c r="Q70" s="258">
        <v>42.2</v>
      </c>
      <c r="R70" s="258">
        <v>42.1</v>
      </c>
      <c r="S70" s="258">
        <v>42.1</v>
      </c>
      <c r="T70" s="258">
        <v>41.8</v>
      </c>
      <c r="U70" s="258">
        <v>41.5</v>
      </c>
      <c r="V70" s="258">
        <v>41.3</v>
      </c>
      <c r="W70" s="258">
        <v>41.1</v>
      </c>
      <c r="X70" s="258">
        <v>41</v>
      </c>
      <c r="Y70" s="258">
        <v>41</v>
      </c>
      <c r="Z70" s="258">
        <v>41</v>
      </c>
    </row>
    <row r="71" spans="1:26" ht="13.15" x14ac:dyDescent="0.25">
      <c r="A71" t="s">
        <v>693</v>
      </c>
      <c r="C71" s="139" t="s">
        <v>702</v>
      </c>
      <c r="D71" s="95">
        <f t="shared" si="4"/>
        <v>-1.3355560293861095E-3</v>
      </c>
      <c r="E71" t="s">
        <v>173</v>
      </c>
      <c r="F71" s="95">
        <f t="shared" si="5"/>
        <v>1.1608222490931077E-2</v>
      </c>
      <c r="G71" s="136">
        <f t="shared" si="3"/>
        <v>557.90699350194996</v>
      </c>
      <c r="H71" s="187">
        <v>51589</v>
      </c>
      <c r="I71" s="89">
        <v>52102</v>
      </c>
      <c r="J71" s="89">
        <v>5325</v>
      </c>
      <c r="K71" s="89">
        <v>5155</v>
      </c>
      <c r="L71" s="89">
        <v>5110</v>
      </c>
      <c r="M71" s="89">
        <v>5085</v>
      </c>
      <c r="N71" s="101">
        <v>29068070.175438594</v>
      </c>
      <c r="O71" s="113" t="s">
        <v>702</v>
      </c>
      <c r="P71" s="256">
        <v>51589</v>
      </c>
      <c r="Q71" s="258">
        <v>51.3</v>
      </c>
      <c r="R71" s="258">
        <v>51.4</v>
      </c>
      <c r="S71" s="258">
        <v>51.4</v>
      </c>
      <c r="T71" s="258">
        <v>51.4</v>
      </c>
      <c r="U71" s="258">
        <v>51.3</v>
      </c>
      <c r="V71" s="258">
        <v>51.3</v>
      </c>
      <c r="W71" s="258">
        <v>51.2</v>
      </c>
      <c r="X71" s="258">
        <v>51.1</v>
      </c>
      <c r="Y71" s="258">
        <v>51</v>
      </c>
      <c r="Z71" s="258">
        <v>50.9</v>
      </c>
    </row>
    <row r="72" spans="1:26" ht="13.15" x14ac:dyDescent="0.25">
      <c r="A72" t="s">
        <v>698</v>
      </c>
      <c r="C72" s="139" t="s">
        <v>177</v>
      </c>
      <c r="D72" s="95">
        <f t="shared" si="4"/>
        <v>-5.7820093226222348E-3</v>
      </c>
      <c r="E72" t="s">
        <v>173</v>
      </c>
      <c r="F72" s="95">
        <f t="shared" si="5"/>
        <v>1.1889035667107001E-2</v>
      </c>
      <c r="G72" s="136">
        <f t="shared" si="3"/>
        <v>2528.5769083237437</v>
      </c>
      <c r="H72" s="187">
        <v>10083</v>
      </c>
      <c r="I72" s="89">
        <v>10428</v>
      </c>
      <c r="J72" s="89">
        <v>965</v>
      </c>
      <c r="K72" s="89">
        <v>955</v>
      </c>
      <c r="L72" s="89">
        <v>945</v>
      </c>
      <c r="M72" s="89">
        <v>920</v>
      </c>
      <c r="N72" s="89">
        <v>26368000</v>
      </c>
      <c r="O72" s="113" t="s">
        <v>177</v>
      </c>
      <c r="P72" s="256">
        <v>10083</v>
      </c>
      <c r="Q72" s="258">
        <v>10.1</v>
      </c>
      <c r="R72" s="258">
        <v>10.1</v>
      </c>
      <c r="S72" s="258">
        <v>10</v>
      </c>
      <c r="T72" s="258">
        <v>9.9</v>
      </c>
      <c r="U72" s="258">
        <v>9.8000000000000007</v>
      </c>
      <c r="V72" s="258">
        <v>9.6999999999999993</v>
      </c>
      <c r="W72" s="258">
        <v>9.6</v>
      </c>
      <c r="X72" s="258">
        <v>9.6</v>
      </c>
      <c r="Y72" s="258">
        <v>9.5</v>
      </c>
      <c r="Z72" s="258">
        <v>9.5</v>
      </c>
    </row>
    <row r="73" spans="1:26" ht="13.15" x14ac:dyDescent="0.25">
      <c r="A73" t="s">
        <v>697</v>
      </c>
      <c r="C73" s="139" t="s">
        <v>299</v>
      </c>
      <c r="D73" s="95">
        <f t="shared" si="4"/>
        <v>-3.7185154002666106E-4</v>
      </c>
      <c r="E73" t="s">
        <v>578</v>
      </c>
      <c r="F73" s="95">
        <f t="shared" si="5"/>
        <v>1.8449197860962566E-2</v>
      </c>
      <c r="G73" s="136">
        <f t="shared" si="3"/>
        <v>1729.7158945482468</v>
      </c>
      <c r="H73" s="187">
        <v>42759</v>
      </c>
      <c r="I73" s="89">
        <v>42977</v>
      </c>
      <c r="J73" s="89">
        <v>4880</v>
      </c>
      <c r="K73" s="89">
        <v>4720</v>
      </c>
      <c r="L73" s="89">
        <v>4565</v>
      </c>
      <c r="M73" s="89">
        <v>4535</v>
      </c>
      <c r="N73" s="89">
        <v>74338000</v>
      </c>
      <c r="O73" s="113" t="s">
        <v>299</v>
      </c>
      <c r="P73" s="256">
        <v>42759</v>
      </c>
      <c r="Q73" s="258">
        <v>42.5</v>
      </c>
      <c r="R73" s="258">
        <v>42.6</v>
      </c>
      <c r="S73" s="258">
        <v>42.5</v>
      </c>
      <c r="T73" s="258">
        <v>42.5</v>
      </c>
      <c r="U73" s="258">
        <v>42.6</v>
      </c>
      <c r="V73" s="258">
        <v>42.6</v>
      </c>
      <c r="W73" s="258">
        <v>42.6</v>
      </c>
      <c r="X73" s="258">
        <v>42.6</v>
      </c>
      <c r="Y73" s="258">
        <v>42.6</v>
      </c>
      <c r="Z73" s="258">
        <v>42.6</v>
      </c>
    </row>
    <row r="74" spans="1:26" ht="13.15" x14ac:dyDescent="0.25">
      <c r="A74" t="s">
        <v>689</v>
      </c>
      <c r="C74" s="139" t="s">
        <v>172</v>
      </c>
      <c r="D74" s="95">
        <f t="shared" si="4"/>
        <v>-3.5586439250368499E-3</v>
      </c>
      <c r="E74" t="s">
        <v>578</v>
      </c>
      <c r="F74" s="95">
        <f t="shared" si="5"/>
        <v>3.1436314363143633E-2</v>
      </c>
      <c r="G74" s="136">
        <f t="shared" si="3"/>
        <v>-433.79783606281313</v>
      </c>
      <c r="H74" s="187">
        <v>23745</v>
      </c>
      <c r="I74" s="89">
        <v>23753</v>
      </c>
      <c r="J74" s="89">
        <v>2475</v>
      </c>
      <c r="K74" s="89">
        <v>2345</v>
      </c>
      <c r="L74" s="89">
        <v>2220</v>
      </c>
      <c r="M74" s="89">
        <v>2185</v>
      </c>
      <c r="N74" s="89">
        <v>-10304000</v>
      </c>
      <c r="O74" s="113" t="s">
        <v>172</v>
      </c>
      <c r="P74" s="256">
        <v>23745</v>
      </c>
      <c r="Q74" s="258">
        <v>23.5</v>
      </c>
      <c r="R74" s="258">
        <v>23.5</v>
      </c>
      <c r="S74" s="258">
        <v>23.4</v>
      </c>
      <c r="T74" s="258">
        <v>23.3</v>
      </c>
      <c r="U74" s="258">
        <v>23.2</v>
      </c>
      <c r="V74" s="258">
        <v>23.1</v>
      </c>
      <c r="W74" s="258">
        <v>23.1</v>
      </c>
      <c r="X74" s="258">
        <v>23</v>
      </c>
      <c r="Y74" s="258">
        <v>23</v>
      </c>
      <c r="Z74" s="258">
        <v>22.9</v>
      </c>
    </row>
    <row r="75" spans="1:26" ht="13.15" x14ac:dyDescent="0.25">
      <c r="A75" t="s">
        <v>694</v>
      </c>
      <c r="C75" s="139" t="s">
        <v>373</v>
      </c>
      <c r="D75" s="95">
        <f t="shared" si="4"/>
        <v>9.706889237477926E-3</v>
      </c>
      <c r="E75" t="s">
        <v>544</v>
      </c>
      <c r="F75" s="95">
        <f t="shared" si="5"/>
        <v>2.3813692873402206E-2</v>
      </c>
      <c r="G75" s="136">
        <f t="shared" si="3"/>
        <v>3591.2845198885229</v>
      </c>
      <c r="H75" s="187">
        <v>101361</v>
      </c>
      <c r="I75" s="89">
        <v>98675</v>
      </c>
      <c r="J75" s="89">
        <v>7530</v>
      </c>
      <c r="K75" s="89">
        <v>7185</v>
      </c>
      <c r="L75" s="89">
        <v>6990</v>
      </c>
      <c r="M75" s="89">
        <v>6850</v>
      </c>
      <c r="N75" s="89">
        <v>354370000</v>
      </c>
      <c r="O75" s="113" t="s">
        <v>373</v>
      </c>
      <c r="P75" s="256">
        <v>101361</v>
      </c>
      <c r="Q75" s="258">
        <v>103</v>
      </c>
      <c r="R75" s="258">
        <v>104.4</v>
      </c>
      <c r="S75" s="258">
        <v>105.3</v>
      </c>
      <c r="T75" s="258">
        <v>106.1</v>
      </c>
      <c r="U75" s="258">
        <v>106.7</v>
      </c>
      <c r="V75" s="258">
        <v>107.2</v>
      </c>
      <c r="W75" s="258">
        <v>108</v>
      </c>
      <c r="X75" s="258">
        <v>108.8</v>
      </c>
      <c r="Y75" s="258">
        <v>109.9</v>
      </c>
      <c r="Z75" s="258">
        <v>111.2</v>
      </c>
    </row>
    <row r="76" spans="1:26" ht="13.15" x14ac:dyDescent="0.25">
      <c r="A76" t="s">
        <v>698</v>
      </c>
      <c r="C76" s="139" t="s">
        <v>178</v>
      </c>
      <c r="D76" s="95">
        <f t="shared" si="4"/>
        <v>-1.2263130483554346E-2</v>
      </c>
      <c r="E76" t="s">
        <v>544</v>
      </c>
      <c r="F76" s="95">
        <f t="shared" si="5"/>
        <v>4.0983606557377051E-3</v>
      </c>
      <c r="G76" s="136">
        <f t="shared" si="3"/>
        <v>2931.3818665652916</v>
      </c>
      <c r="H76" s="187">
        <v>24961</v>
      </c>
      <c r="I76" s="89">
        <v>26305</v>
      </c>
      <c r="J76" s="89">
        <v>1565</v>
      </c>
      <c r="K76" s="89">
        <v>1510</v>
      </c>
      <c r="L76" s="89">
        <v>1485</v>
      </c>
      <c r="M76" s="89">
        <v>1540</v>
      </c>
      <c r="N76" s="89">
        <v>77110000</v>
      </c>
      <c r="O76" s="113" t="s">
        <v>178</v>
      </c>
      <c r="P76" s="256">
        <v>24961</v>
      </c>
      <c r="Q76" s="258">
        <v>25</v>
      </c>
      <c r="R76" s="258">
        <v>24.7</v>
      </c>
      <c r="S76" s="258">
        <v>24.4</v>
      </c>
      <c r="T76" s="258">
        <v>24</v>
      </c>
      <c r="U76" s="258">
        <v>23.7</v>
      </c>
      <c r="V76" s="258">
        <v>23.3</v>
      </c>
      <c r="W76" s="258">
        <v>23</v>
      </c>
      <c r="X76" s="258">
        <v>22.6</v>
      </c>
      <c r="Y76" s="258">
        <v>22.3</v>
      </c>
      <c r="Z76" s="258">
        <v>21.9</v>
      </c>
    </row>
    <row r="77" spans="1:26" ht="13.15" x14ac:dyDescent="0.25">
      <c r="A77" t="s">
        <v>691</v>
      </c>
      <c r="C77" s="139" t="s">
        <v>328</v>
      </c>
      <c r="D77" s="95">
        <f t="shared" si="4"/>
        <v>-4.6939139746564338E-3</v>
      </c>
      <c r="E77" t="s">
        <v>544</v>
      </c>
      <c r="F77" s="95">
        <f t="shared" si="5"/>
        <v>1.1828935395814377E-2</v>
      </c>
      <c r="G77" s="136">
        <f t="shared" si="3"/>
        <v>568.35187943573123</v>
      </c>
      <c r="H77" s="187">
        <v>56030</v>
      </c>
      <c r="I77" s="89">
        <v>57065</v>
      </c>
      <c r="J77" s="89">
        <v>2825</v>
      </c>
      <c r="K77" s="89">
        <v>2765</v>
      </c>
      <c r="L77" s="89">
        <v>2705</v>
      </c>
      <c r="M77" s="89">
        <v>2695</v>
      </c>
      <c r="N77" s="89">
        <v>32433000</v>
      </c>
      <c r="O77" s="113" t="s">
        <v>328</v>
      </c>
      <c r="P77" s="256">
        <v>56030</v>
      </c>
      <c r="Q77" s="258">
        <v>56</v>
      </c>
      <c r="R77" s="258">
        <v>55.8</v>
      </c>
      <c r="S77" s="258">
        <v>55.4</v>
      </c>
      <c r="T77" s="258">
        <v>55</v>
      </c>
      <c r="U77" s="258">
        <v>54.8</v>
      </c>
      <c r="V77" s="258">
        <v>54.5</v>
      </c>
      <c r="W77" s="258">
        <v>54.3</v>
      </c>
      <c r="X77" s="258">
        <v>54</v>
      </c>
      <c r="Y77" s="258">
        <v>53.7</v>
      </c>
      <c r="Z77" s="258">
        <v>53.4</v>
      </c>
    </row>
    <row r="78" spans="1:26" ht="13.15" x14ac:dyDescent="0.25">
      <c r="A78" t="s">
        <v>690</v>
      </c>
      <c r="C78" s="139" t="s">
        <v>449</v>
      </c>
      <c r="D78" s="95">
        <f t="shared" si="4"/>
        <v>3.3575544976196443E-3</v>
      </c>
      <c r="E78" t="s">
        <v>173</v>
      </c>
      <c r="F78" s="95">
        <f t="shared" si="5"/>
        <v>1.6288041148735534E-2</v>
      </c>
      <c r="G78" s="136">
        <f t="shared" si="3"/>
        <v>2574.9637932120145</v>
      </c>
      <c r="H78" s="187">
        <v>31928</v>
      </c>
      <c r="I78" s="89">
        <v>31762</v>
      </c>
      <c r="J78" s="89">
        <v>3035</v>
      </c>
      <c r="K78" s="89">
        <v>2930</v>
      </c>
      <c r="L78" s="89">
        <v>2855</v>
      </c>
      <c r="M78" s="89">
        <v>2845</v>
      </c>
      <c r="N78" s="89">
        <v>81786000</v>
      </c>
      <c r="O78" s="113" t="s">
        <v>449</v>
      </c>
      <c r="P78" s="256">
        <v>31928</v>
      </c>
      <c r="Q78" s="258">
        <v>32</v>
      </c>
      <c r="R78" s="258">
        <v>32.1</v>
      </c>
      <c r="S78" s="258">
        <v>32.200000000000003</v>
      </c>
      <c r="T78" s="258">
        <v>32.4</v>
      </c>
      <c r="U78" s="258">
        <v>32.5</v>
      </c>
      <c r="V78" s="258">
        <v>32.6</v>
      </c>
      <c r="W78" s="258">
        <v>32.700000000000003</v>
      </c>
      <c r="X78" s="258">
        <v>32.9</v>
      </c>
      <c r="Y78" s="258">
        <v>33</v>
      </c>
      <c r="Z78" s="258">
        <v>33</v>
      </c>
    </row>
    <row r="79" spans="1:26" ht="13.15" x14ac:dyDescent="0.25">
      <c r="A79" t="s">
        <v>695</v>
      </c>
      <c r="C79" s="139" t="s">
        <v>220</v>
      </c>
      <c r="D79" s="95">
        <f t="shared" si="4"/>
        <v>1.683311855670103E-3</v>
      </c>
      <c r="E79" t="s">
        <v>544</v>
      </c>
      <c r="F79" s="95">
        <f t="shared" si="5"/>
        <v>2.3373223635003739E-2</v>
      </c>
      <c r="G79" s="136">
        <f t="shared" si="3"/>
        <v>1737.2000162153397</v>
      </c>
      <c r="H79" s="187">
        <v>99328</v>
      </c>
      <c r="I79" s="89">
        <v>98672</v>
      </c>
      <c r="J79" s="89">
        <v>7045</v>
      </c>
      <c r="K79" s="89">
        <v>6790</v>
      </c>
      <c r="L79" s="89">
        <v>6485</v>
      </c>
      <c r="M79" s="89">
        <v>6420</v>
      </c>
      <c r="N79" s="89">
        <v>171413000</v>
      </c>
      <c r="O79" s="113" t="s">
        <v>220</v>
      </c>
      <c r="P79" s="256">
        <v>99328</v>
      </c>
      <c r="Q79" s="258">
        <v>99.3</v>
      </c>
      <c r="R79" s="258">
        <v>99.6</v>
      </c>
      <c r="S79" s="258">
        <v>99.6</v>
      </c>
      <c r="T79" s="258">
        <v>100</v>
      </c>
      <c r="U79" s="258">
        <v>100.3</v>
      </c>
      <c r="V79" s="258">
        <v>100.5</v>
      </c>
      <c r="W79" s="258">
        <v>100.6</v>
      </c>
      <c r="X79" s="258">
        <v>100.8</v>
      </c>
      <c r="Y79" s="258">
        <v>100.9</v>
      </c>
      <c r="Z79" s="258">
        <v>101</v>
      </c>
    </row>
    <row r="80" spans="1:26" ht="13.15" x14ac:dyDescent="0.25">
      <c r="A80" t="s">
        <v>691</v>
      </c>
      <c r="C80" s="139" t="s">
        <v>329</v>
      </c>
      <c r="D80" s="95">
        <f t="shared" si="4"/>
        <v>2.3048668503213958E-2</v>
      </c>
      <c r="E80" t="s">
        <v>544</v>
      </c>
      <c r="F80" s="95">
        <f t="shared" si="5"/>
        <v>4.0421792618629174E-2</v>
      </c>
      <c r="G80" s="136">
        <f t="shared" si="3"/>
        <v>3004.4916783637459</v>
      </c>
      <c r="H80" s="187">
        <v>27225</v>
      </c>
      <c r="I80" s="89">
        <v>24935</v>
      </c>
      <c r="J80" s="89">
        <v>2315</v>
      </c>
      <c r="K80" s="89">
        <v>2210</v>
      </c>
      <c r="L80" s="89">
        <v>2040</v>
      </c>
      <c r="M80" s="89">
        <v>1970</v>
      </c>
      <c r="N80" s="89">
        <v>74917000</v>
      </c>
      <c r="O80" s="113" t="s">
        <v>329</v>
      </c>
      <c r="P80" s="256">
        <v>27225</v>
      </c>
      <c r="Q80" s="258">
        <v>27.5</v>
      </c>
      <c r="R80" s="258">
        <v>28.1</v>
      </c>
      <c r="S80" s="258">
        <v>28.7</v>
      </c>
      <c r="T80" s="258">
        <v>29.3</v>
      </c>
      <c r="U80" s="258">
        <v>30</v>
      </c>
      <c r="V80" s="258">
        <v>30.8</v>
      </c>
      <c r="W80" s="258">
        <v>31.5</v>
      </c>
      <c r="X80" s="258">
        <v>32.1</v>
      </c>
      <c r="Y80" s="258">
        <v>32.799999999999997</v>
      </c>
      <c r="Z80" s="258">
        <v>33.5</v>
      </c>
    </row>
    <row r="81" spans="1:26" ht="13.15" x14ac:dyDescent="0.25">
      <c r="A81" t="s">
        <v>695</v>
      </c>
      <c r="C81" s="139" t="s">
        <v>221</v>
      </c>
      <c r="D81" s="95">
        <f t="shared" si="4"/>
        <v>-3.5933391761612619E-3</v>
      </c>
      <c r="E81" t="s">
        <v>578</v>
      </c>
      <c r="F81" s="95">
        <f t="shared" si="5"/>
        <v>2.4464831804281346E-2</v>
      </c>
      <c r="G81" s="136">
        <f t="shared" si="3"/>
        <v>813.52356844245003</v>
      </c>
      <c r="H81" s="187">
        <v>26243</v>
      </c>
      <c r="I81" s="89">
        <v>26073</v>
      </c>
      <c r="J81" s="89">
        <v>2590</v>
      </c>
      <c r="K81" s="89">
        <v>2470</v>
      </c>
      <c r="L81" s="89">
        <v>2400</v>
      </c>
      <c r="M81" s="89">
        <v>2350</v>
      </c>
      <c r="N81" s="89">
        <v>21211000</v>
      </c>
      <c r="O81" s="113" t="s">
        <v>221</v>
      </c>
      <c r="P81" s="256">
        <v>26243</v>
      </c>
      <c r="Q81" s="258">
        <v>26.2</v>
      </c>
      <c r="R81" s="258">
        <v>26.2</v>
      </c>
      <c r="S81" s="258">
        <v>26.2</v>
      </c>
      <c r="T81" s="258">
        <v>26</v>
      </c>
      <c r="U81" s="258">
        <v>25.9</v>
      </c>
      <c r="V81" s="258">
        <v>25.8</v>
      </c>
      <c r="W81" s="258">
        <v>25.7</v>
      </c>
      <c r="X81" s="258">
        <v>25.5</v>
      </c>
      <c r="Y81" s="258">
        <v>25.4</v>
      </c>
      <c r="Z81" s="258">
        <v>25.3</v>
      </c>
    </row>
    <row r="82" spans="1:26" ht="13.15" x14ac:dyDescent="0.25">
      <c r="A82" t="s">
        <v>692</v>
      </c>
      <c r="C82" s="139" t="s">
        <v>251</v>
      </c>
      <c r="D82" s="95">
        <f t="shared" si="4"/>
        <v>4.0105773468488322E-3</v>
      </c>
      <c r="E82" t="s">
        <v>544</v>
      </c>
      <c r="F82" s="95">
        <f t="shared" si="5"/>
        <v>1.7006802721088437E-2</v>
      </c>
      <c r="G82" s="136">
        <f t="shared" si="3"/>
        <v>-1212.8815312984998</v>
      </c>
      <c r="H82" s="187">
        <v>11345</v>
      </c>
      <c r="I82" s="89">
        <v>11598</v>
      </c>
      <c r="J82" s="89">
        <v>765</v>
      </c>
      <c r="K82" s="89">
        <v>755</v>
      </c>
      <c r="L82" s="89">
        <v>705</v>
      </c>
      <c r="M82" s="89">
        <v>715</v>
      </c>
      <c r="N82" s="89">
        <v>-14067000</v>
      </c>
      <c r="O82" s="113" t="s">
        <v>251</v>
      </c>
      <c r="P82" s="256">
        <v>11345</v>
      </c>
      <c r="Q82" s="258">
        <v>11.7</v>
      </c>
      <c r="R82" s="258">
        <v>11.8</v>
      </c>
      <c r="S82" s="258">
        <v>11.9</v>
      </c>
      <c r="T82" s="258">
        <v>11.9</v>
      </c>
      <c r="U82" s="258">
        <v>11.8</v>
      </c>
      <c r="V82" s="258">
        <v>11.8</v>
      </c>
      <c r="W82" s="258">
        <v>11.8</v>
      </c>
      <c r="X82" s="258">
        <v>11.8</v>
      </c>
      <c r="Y82" s="258">
        <v>11.8</v>
      </c>
      <c r="Z82" s="258">
        <v>11.8</v>
      </c>
    </row>
    <row r="83" spans="1:26" ht="13.15" x14ac:dyDescent="0.25">
      <c r="A83" t="s">
        <v>692</v>
      </c>
      <c r="C83" s="139" t="s">
        <v>252</v>
      </c>
      <c r="D83" s="95">
        <f t="shared" si="4"/>
        <v>-2.3920091124156662E-3</v>
      </c>
      <c r="E83" t="s">
        <v>173</v>
      </c>
      <c r="F83" s="95">
        <f t="shared" si="5"/>
        <v>1.8366770274088725E-2</v>
      </c>
      <c r="G83" s="136">
        <f t="shared" si="3"/>
        <v>2380.8931238000428</v>
      </c>
      <c r="H83" s="187">
        <v>57065</v>
      </c>
      <c r="I83" s="89">
        <v>56252</v>
      </c>
      <c r="J83" s="89">
        <v>4600</v>
      </c>
      <c r="K83" s="89">
        <v>4530</v>
      </c>
      <c r="L83" s="89">
        <v>4290</v>
      </c>
      <c r="M83" s="89">
        <v>4275</v>
      </c>
      <c r="N83" s="89">
        <v>133930000</v>
      </c>
      <c r="O83" s="113" t="s">
        <v>252</v>
      </c>
      <c r="P83" s="256">
        <v>57065</v>
      </c>
      <c r="Q83" s="258">
        <v>56.8</v>
      </c>
      <c r="R83" s="258">
        <v>56.8</v>
      </c>
      <c r="S83" s="258">
        <v>56.7</v>
      </c>
      <c r="T83" s="258">
        <v>56.6</v>
      </c>
      <c r="U83" s="258">
        <v>56.4</v>
      </c>
      <c r="V83" s="258">
        <v>56.3</v>
      </c>
      <c r="W83" s="258">
        <v>56.1</v>
      </c>
      <c r="X83" s="258">
        <v>55.9</v>
      </c>
      <c r="Y83" s="258">
        <v>55.8</v>
      </c>
      <c r="Z83" s="258">
        <v>55.7</v>
      </c>
    </row>
    <row r="84" spans="1:26" ht="13.15" x14ac:dyDescent="0.25">
      <c r="A84" t="s">
        <v>690</v>
      </c>
      <c r="C84" s="139" t="s">
        <v>450</v>
      </c>
      <c r="D84" s="95">
        <f t="shared" si="4"/>
        <v>2.3088079651914862E-3</v>
      </c>
      <c r="E84" t="s">
        <v>578</v>
      </c>
      <c r="F84" s="95">
        <f t="shared" si="5"/>
        <v>1.9620253164556962E-2</v>
      </c>
      <c r="G84" s="136">
        <f t="shared" si="3"/>
        <v>1480.0634794683594</v>
      </c>
      <c r="H84" s="187">
        <v>25511</v>
      </c>
      <c r="I84" s="89">
        <v>25205</v>
      </c>
      <c r="J84" s="89">
        <v>2065</v>
      </c>
      <c r="K84" s="89">
        <v>1990</v>
      </c>
      <c r="L84" s="89">
        <v>1935</v>
      </c>
      <c r="M84" s="89">
        <v>1910</v>
      </c>
      <c r="N84" s="89">
        <v>37305000</v>
      </c>
      <c r="O84" s="113" t="s">
        <v>450</v>
      </c>
      <c r="P84" s="256">
        <v>25511</v>
      </c>
      <c r="Q84" s="258">
        <v>25.4</v>
      </c>
      <c r="R84" s="258">
        <v>25.5</v>
      </c>
      <c r="S84" s="258">
        <v>25.6</v>
      </c>
      <c r="T84" s="258">
        <v>25.8</v>
      </c>
      <c r="U84" s="258">
        <v>25.8</v>
      </c>
      <c r="V84" s="258">
        <v>25.9</v>
      </c>
      <c r="W84" s="258">
        <v>26</v>
      </c>
      <c r="X84" s="258">
        <v>26</v>
      </c>
      <c r="Y84" s="258">
        <v>26.1</v>
      </c>
      <c r="Z84" s="258">
        <v>26.1</v>
      </c>
    </row>
    <row r="85" spans="1:26" ht="13.15" x14ac:dyDescent="0.25">
      <c r="A85" t="s">
        <v>693</v>
      </c>
      <c r="C85" s="139" t="s">
        <v>200</v>
      </c>
      <c r="D85" s="95">
        <f t="shared" si="4"/>
        <v>-2.9451137884872829E-3</v>
      </c>
      <c r="E85" t="s">
        <v>173</v>
      </c>
      <c r="F85" s="95">
        <f t="shared" si="5"/>
        <v>1.6185784658691062E-2</v>
      </c>
      <c r="G85" s="136">
        <f t="shared" si="3"/>
        <v>2053.7802668423656</v>
      </c>
      <c r="H85" s="187">
        <v>23904</v>
      </c>
      <c r="I85" s="89">
        <v>24284</v>
      </c>
      <c r="J85" s="89">
        <v>1835</v>
      </c>
      <c r="K85" s="89">
        <v>1805</v>
      </c>
      <c r="L85" s="89">
        <v>1745</v>
      </c>
      <c r="M85" s="89">
        <v>1720</v>
      </c>
      <c r="N85" s="89">
        <v>49874000</v>
      </c>
      <c r="O85" s="113" t="s">
        <v>200</v>
      </c>
      <c r="P85" s="256">
        <v>23904</v>
      </c>
      <c r="Q85" s="258">
        <v>23.8</v>
      </c>
      <c r="R85" s="258">
        <v>23.8</v>
      </c>
      <c r="S85" s="258">
        <v>23.7</v>
      </c>
      <c r="T85" s="258">
        <v>23.6</v>
      </c>
      <c r="U85" s="258">
        <v>23.5</v>
      </c>
      <c r="V85" s="258">
        <v>23.5</v>
      </c>
      <c r="W85" s="258">
        <v>23.4</v>
      </c>
      <c r="X85" s="258">
        <v>23.3</v>
      </c>
      <c r="Y85" s="258">
        <v>23.3</v>
      </c>
      <c r="Z85" s="258">
        <v>23.2</v>
      </c>
    </row>
    <row r="86" spans="1:26" ht="13.15" x14ac:dyDescent="0.25">
      <c r="A86" t="s">
        <v>694</v>
      </c>
      <c r="C86" s="139" t="s">
        <v>374</v>
      </c>
      <c r="D86" s="95">
        <f t="shared" si="4"/>
        <v>3.436066900458592E-3</v>
      </c>
      <c r="E86" t="s">
        <v>544</v>
      </c>
      <c r="F86" s="95">
        <f t="shared" si="5"/>
        <v>2.5213867627194957E-2</v>
      </c>
      <c r="G86" s="136">
        <f t="shared" si="3"/>
        <v>1058.7824536016558</v>
      </c>
      <c r="H86" s="187">
        <v>118624</v>
      </c>
      <c r="I86" s="89">
        <v>118862</v>
      </c>
      <c r="J86" s="89">
        <v>8805</v>
      </c>
      <c r="K86" s="89">
        <v>8435</v>
      </c>
      <c r="L86" s="89">
        <v>8110</v>
      </c>
      <c r="M86" s="89">
        <v>7965</v>
      </c>
      <c r="N86" s="89">
        <v>125849000</v>
      </c>
      <c r="O86" s="113" t="s">
        <v>374</v>
      </c>
      <c r="P86" s="256">
        <v>118624</v>
      </c>
      <c r="Q86" s="258">
        <v>119.6</v>
      </c>
      <c r="R86" s="258">
        <v>120.1</v>
      </c>
      <c r="S86" s="258">
        <v>120.5</v>
      </c>
      <c r="T86" s="258">
        <v>120.9</v>
      </c>
      <c r="U86" s="258">
        <v>121.2</v>
      </c>
      <c r="V86" s="258">
        <v>121.5</v>
      </c>
      <c r="W86" s="258">
        <v>121.8</v>
      </c>
      <c r="X86" s="258">
        <v>122.1</v>
      </c>
      <c r="Y86" s="258">
        <v>122.5</v>
      </c>
      <c r="Z86" s="258">
        <v>122.7</v>
      </c>
    </row>
    <row r="87" spans="1:26" ht="13.15" x14ac:dyDescent="0.25">
      <c r="A87" t="s">
        <v>691</v>
      </c>
      <c r="C87" s="139" t="s">
        <v>330</v>
      </c>
      <c r="D87" s="95">
        <f t="shared" si="4"/>
        <v>7.3105298457411131E-3</v>
      </c>
      <c r="E87" t="s">
        <v>578</v>
      </c>
      <c r="F87" s="95">
        <f t="shared" si="5"/>
        <v>1.7009213323883769E-2</v>
      </c>
      <c r="G87" s="136">
        <f t="shared" si="3"/>
        <v>-253.2642487046632</v>
      </c>
      <c r="H87" s="187">
        <v>19383</v>
      </c>
      <c r="I87" s="89">
        <v>19300</v>
      </c>
      <c r="J87" s="89">
        <v>1840</v>
      </c>
      <c r="K87" s="89">
        <v>1770</v>
      </c>
      <c r="L87" s="89">
        <v>1725</v>
      </c>
      <c r="M87" s="89">
        <v>1720</v>
      </c>
      <c r="N87" s="89">
        <v>-4888000</v>
      </c>
      <c r="O87" s="113" t="s">
        <v>330</v>
      </c>
      <c r="P87" s="256">
        <v>19383</v>
      </c>
      <c r="Q87" s="258">
        <v>19.899999999999999</v>
      </c>
      <c r="R87" s="258">
        <v>20.100000000000001</v>
      </c>
      <c r="S87" s="258">
        <v>20.3</v>
      </c>
      <c r="T87" s="258">
        <v>20.399999999999999</v>
      </c>
      <c r="U87" s="258">
        <v>20.5</v>
      </c>
      <c r="V87" s="258">
        <v>20.6</v>
      </c>
      <c r="W87" s="258">
        <v>20.6</v>
      </c>
      <c r="X87" s="258">
        <v>20.7</v>
      </c>
      <c r="Y87" s="258">
        <v>20.8</v>
      </c>
      <c r="Z87" s="258">
        <v>20.8</v>
      </c>
    </row>
    <row r="88" spans="1:26" ht="13.15" x14ac:dyDescent="0.25">
      <c r="A88" t="s">
        <v>690</v>
      </c>
      <c r="C88" s="139" t="s">
        <v>451</v>
      </c>
      <c r="D88" s="95">
        <f t="shared" si="4"/>
        <v>-1.7235602873841341E-3</v>
      </c>
      <c r="E88" t="s">
        <v>578</v>
      </c>
      <c r="F88" s="95">
        <f t="shared" si="5"/>
        <v>2.1141649048625793E-2</v>
      </c>
      <c r="G88" s="136">
        <f t="shared" si="3"/>
        <v>-36.678667866786675</v>
      </c>
      <c r="H88" s="187">
        <v>26863</v>
      </c>
      <c r="I88" s="89">
        <v>26664</v>
      </c>
      <c r="J88" s="89">
        <v>2480</v>
      </c>
      <c r="K88" s="89">
        <v>2405</v>
      </c>
      <c r="L88" s="89">
        <v>2295</v>
      </c>
      <c r="M88" s="89">
        <v>2280</v>
      </c>
      <c r="N88" s="89">
        <v>-978000</v>
      </c>
      <c r="O88" s="113" t="s">
        <v>451</v>
      </c>
      <c r="P88" s="256">
        <v>26863</v>
      </c>
      <c r="Q88" s="258">
        <v>26.8</v>
      </c>
      <c r="R88" s="258">
        <v>26.8</v>
      </c>
      <c r="S88" s="258">
        <v>26.8</v>
      </c>
      <c r="T88" s="258">
        <v>26.8</v>
      </c>
      <c r="U88" s="258">
        <v>26.8</v>
      </c>
      <c r="V88" s="258">
        <v>26.8</v>
      </c>
      <c r="W88" s="258">
        <v>26.7</v>
      </c>
      <c r="X88" s="258">
        <v>26.7</v>
      </c>
      <c r="Y88" s="258">
        <v>26.6</v>
      </c>
      <c r="Z88" s="258">
        <v>26.4</v>
      </c>
    </row>
    <row r="89" spans="1:26" ht="13.15" x14ac:dyDescent="0.25">
      <c r="A89" t="s">
        <v>696</v>
      </c>
      <c r="C89" s="139" t="s">
        <v>530</v>
      </c>
      <c r="D89" s="95">
        <f t="shared" si="4"/>
        <v>7.9887102711989205E-3</v>
      </c>
      <c r="E89" t="s">
        <v>173</v>
      </c>
      <c r="F89" s="95">
        <f t="shared" si="5"/>
        <v>2.1770682148040638E-2</v>
      </c>
      <c r="G89" s="136">
        <f t="shared" si="3"/>
        <v>-709.76031628366695</v>
      </c>
      <c r="H89" s="187">
        <v>40745</v>
      </c>
      <c r="I89" s="89">
        <v>40470</v>
      </c>
      <c r="J89" s="89">
        <v>3605</v>
      </c>
      <c r="K89" s="89">
        <v>3480</v>
      </c>
      <c r="L89" s="89">
        <v>3390</v>
      </c>
      <c r="M89" s="89">
        <v>3305</v>
      </c>
      <c r="N89" s="89">
        <v>-28724000</v>
      </c>
      <c r="O89" s="113" t="s">
        <v>530</v>
      </c>
      <c r="P89" s="256">
        <v>40745</v>
      </c>
      <c r="Q89" s="258">
        <v>41.5</v>
      </c>
      <c r="R89" s="258">
        <v>42.1</v>
      </c>
      <c r="S89" s="258">
        <v>42.5</v>
      </c>
      <c r="T89" s="258">
        <v>42.8</v>
      </c>
      <c r="U89" s="258">
        <v>43</v>
      </c>
      <c r="V89" s="258">
        <v>43.3</v>
      </c>
      <c r="W89" s="258">
        <v>43.5</v>
      </c>
      <c r="X89" s="258">
        <v>43.7</v>
      </c>
      <c r="Y89" s="258">
        <v>43.9</v>
      </c>
      <c r="Z89" s="258">
        <v>44</v>
      </c>
    </row>
    <row r="90" spans="1:26" ht="13.15" x14ac:dyDescent="0.25">
      <c r="A90" t="s">
        <v>692</v>
      </c>
      <c r="C90" s="139" t="s">
        <v>253</v>
      </c>
      <c r="D90" s="95">
        <f t="shared" si="4"/>
        <v>-4.0999946123592475E-3</v>
      </c>
      <c r="E90" t="s">
        <v>173</v>
      </c>
      <c r="F90" s="95">
        <f t="shared" si="5"/>
        <v>2.5043177892918825E-2</v>
      </c>
      <c r="G90" s="136">
        <f t="shared" si="3"/>
        <v>1967.0752487220359</v>
      </c>
      <c r="H90" s="187">
        <v>18561</v>
      </c>
      <c r="I90" s="89">
        <v>18193</v>
      </c>
      <c r="J90" s="89">
        <v>1520</v>
      </c>
      <c r="K90" s="89">
        <v>1480</v>
      </c>
      <c r="L90" s="89">
        <v>1415</v>
      </c>
      <c r="M90" s="89">
        <v>1375</v>
      </c>
      <c r="N90" s="89">
        <v>35787000</v>
      </c>
      <c r="O90" s="113" t="s">
        <v>253</v>
      </c>
      <c r="P90" s="256">
        <v>18561</v>
      </c>
      <c r="Q90" s="258">
        <v>18.3</v>
      </c>
      <c r="R90" s="258">
        <v>18.2</v>
      </c>
      <c r="S90" s="258">
        <v>18.100000000000001</v>
      </c>
      <c r="T90" s="258">
        <v>18.100000000000001</v>
      </c>
      <c r="U90" s="258">
        <v>18.100000000000001</v>
      </c>
      <c r="V90" s="258">
        <v>18.100000000000001</v>
      </c>
      <c r="W90" s="258">
        <v>18</v>
      </c>
      <c r="X90" s="258">
        <v>17.899999999999999</v>
      </c>
      <c r="Y90" s="258">
        <v>17.899999999999999</v>
      </c>
      <c r="Z90" s="258">
        <v>17.8</v>
      </c>
    </row>
    <row r="91" spans="1:26" ht="13.15" x14ac:dyDescent="0.25">
      <c r="A91" t="s">
        <v>692</v>
      </c>
      <c r="C91" s="139" t="s">
        <v>254</v>
      </c>
      <c r="D91" s="95">
        <f t="shared" si="4"/>
        <v>-1.1772117012480805E-3</v>
      </c>
      <c r="E91" t="s">
        <v>173</v>
      </c>
      <c r="F91" s="95">
        <f t="shared" si="5"/>
        <v>1.2448132780082987E-2</v>
      </c>
      <c r="G91" s="136">
        <f t="shared" si="3"/>
        <v>969.95102840352592</v>
      </c>
      <c r="H91" s="187">
        <v>25399</v>
      </c>
      <c r="I91" s="89">
        <v>25525</v>
      </c>
      <c r="J91" s="89">
        <v>1865</v>
      </c>
      <c r="K91" s="89">
        <v>1840</v>
      </c>
      <c r="L91" s="89">
        <v>1750</v>
      </c>
      <c r="M91" s="89">
        <v>1775</v>
      </c>
      <c r="N91" s="89">
        <v>24758000</v>
      </c>
      <c r="O91" s="113" t="s">
        <v>254</v>
      </c>
      <c r="P91" s="256">
        <v>25399</v>
      </c>
      <c r="Q91" s="258">
        <v>25.8</v>
      </c>
      <c r="R91" s="258">
        <v>25.9</v>
      </c>
      <c r="S91" s="258">
        <v>25.8</v>
      </c>
      <c r="T91" s="258">
        <v>25.6</v>
      </c>
      <c r="U91" s="258">
        <v>25.5</v>
      </c>
      <c r="V91" s="258">
        <v>25.4</v>
      </c>
      <c r="W91" s="258">
        <v>25.3</v>
      </c>
      <c r="X91" s="258">
        <v>25.2</v>
      </c>
      <c r="Y91" s="258">
        <v>25.2</v>
      </c>
      <c r="Z91" s="258">
        <v>25.1</v>
      </c>
    </row>
    <row r="92" spans="1:26" ht="13.15" x14ac:dyDescent="0.25">
      <c r="A92" t="s">
        <v>699</v>
      </c>
      <c r="C92" s="139" t="s">
        <v>500</v>
      </c>
      <c r="D92" s="95">
        <f t="shared" si="4"/>
        <v>-7.1011122981210341E-4</v>
      </c>
      <c r="E92" t="s">
        <v>173</v>
      </c>
      <c r="F92" s="95">
        <f t="shared" si="5"/>
        <v>1.5346534653465346E-2</v>
      </c>
      <c r="G92" s="136">
        <f t="shared" si="3"/>
        <v>1099.6113788279185</v>
      </c>
      <c r="H92" s="187">
        <v>31826</v>
      </c>
      <c r="I92" s="89">
        <v>32165</v>
      </c>
      <c r="J92" s="89">
        <v>2625</v>
      </c>
      <c r="K92" s="89">
        <v>2510</v>
      </c>
      <c r="L92" s="89">
        <v>2495</v>
      </c>
      <c r="M92" s="89">
        <v>2470</v>
      </c>
      <c r="N92" s="89">
        <v>35369000</v>
      </c>
      <c r="O92" s="113" t="s">
        <v>500</v>
      </c>
      <c r="P92" s="256">
        <v>31826</v>
      </c>
      <c r="Q92" s="258">
        <v>32.200000000000003</v>
      </c>
      <c r="R92" s="258">
        <v>32.200000000000003</v>
      </c>
      <c r="S92" s="258">
        <v>32</v>
      </c>
      <c r="T92" s="258">
        <v>31.8</v>
      </c>
      <c r="U92" s="258">
        <v>31.7</v>
      </c>
      <c r="V92" s="258">
        <v>31.7</v>
      </c>
      <c r="W92" s="258">
        <v>31.7</v>
      </c>
      <c r="X92" s="258">
        <v>31.7</v>
      </c>
      <c r="Y92" s="258">
        <v>31.7</v>
      </c>
      <c r="Z92" s="258">
        <v>31.6</v>
      </c>
    </row>
    <row r="93" spans="1:26" ht="13.15" x14ac:dyDescent="0.25">
      <c r="A93" t="s">
        <v>691</v>
      </c>
      <c r="C93" s="139" t="s">
        <v>331</v>
      </c>
      <c r="D93" s="95">
        <f t="shared" si="4"/>
        <v>4.1841237919669292E-3</v>
      </c>
      <c r="E93" t="s">
        <v>578</v>
      </c>
      <c r="F93" s="95">
        <f t="shared" si="5"/>
        <v>2.1038344078724125E-2</v>
      </c>
      <c r="G93" s="136">
        <f t="shared" si="3"/>
        <v>199.94863600045656</v>
      </c>
      <c r="H93">
        <v>35802</v>
      </c>
      <c r="I93" s="89">
        <v>35044</v>
      </c>
      <c r="J93" s="89">
        <v>3870</v>
      </c>
      <c r="K93" s="89">
        <v>3715</v>
      </c>
      <c r="L93" s="89">
        <v>3590</v>
      </c>
      <c r="M93" s="89">
        <v>3560</v>
      </c>
      <c r="N93" s="89">
        <v>7007000</v>
      </c>
      <c r="O93" s="113" t="s">
        <v>331</v>
      </c>
      <c r="P93" s="256">
        <v>35802</v>
      </c>
      <c r="Q93" s="258">
        <v>35.6</v>
      </c>
      <c r="R93" s="258">
        <v>35.799999999999997</v>
      </c>
      <c r="S93" s="258">
        <v>36.1</v>
      </c>
      <c r="T93" s="259">
        <v>36.200000000000003</v>
      </c>
      <c r="U93" s="258">
        <v>36.5</v>
      </c>
      <c r="V93" s="258">
        <v>36.700000000000003</v>
      </c>
      <c r="W93" s="258">
        <v>36.799999999999997</v>
      </c>
      <c r="X93" s="258">
        <v>37</v>
      </c>
      <c r="Y93" s="258">
        <v>37.1</v>
      </c>
      <c r="Z93" s="258">
        <v>37.299999999999997</v>
      </c>
    </row>
    <row r="94" spans="1:26" ht="13.15" x14ac:dyDescent="0.25">
      <c r="A94" t="s">
        <v>692</v>
      </c>
      <c r="C94" s="139" t="s">
        <v>255</v>
      </c>
      <c r="D94" s="95">
        <f t="shared" si="4"/>
        <v>4.7175798603765603E-3</v>
      </c>
      <c r="E94" t="s">
        <v>173</v>
      </c>
      <c r="F94" s="95">
        <f t="shared" si="5"/>
        <v>2.8383705650459921E-2</v>
      </c>
      <c r="G94" s="136">
        <f t="shared" si="3"/>
        <v>1851.833803775181</v>
      </c>
      <c r="H94" s="187">
        <v>113448</v>
      </c>
      <c r="I94" s="89">
        <v>108763</v>
      </c>
      <c r="J94" s="89">
        <v>10100</v>
      </c>
      <c r="K94" s="89">
        <v>9685</v>
      </c>
      <c r="L94" s="89">
        <v>9245</v>
      </c>
      <c r="M94" s="89">
        <v>9020</v>
      </c>
      <c r="N94" s="89">
        <v>201411000</v>
      </c>
      <c r="O94" s="113" t="s">
        <v>255</v>
      </c>
      <c r="P94" s="256">
        <v>113448</v>
      </c>
      <c r="Q94" s="258">
        <v>113.3</v>
      </c>
      <c r="R94" s="258">
        <v>114.2</v>
      </c>
      <c r="S94" s="258">
        <v>114.6</v>
      </c>
      <c r="T94" s="258">
        <v>114.9</v>
      </c>
      <c r="U94" s="258">
        <v>115.4</v>
      </c>
      <c r="V94" s="258">
        <v>116</v>
      </c>
      <c r="W94" s="258">
        <v>116.7</v>
      </c>
      <c r="X94" s="258">
        <v>117.3</v>
      </c>
      <c r="Y94" s="258">
        <v>118</v>
      </c>
      <c r="Z94" s="258">
        <v>118.8</v>
      </c>
    </row>
    <row r="95" spans="1:26" ht="13.15" x14ac:dyDescent="0.25">
      <c r="A95" t="s">
        <v>697</v>
      </c>
      <c r="C95" s="139" t="s">
        <v>300</v>
      </c>
      <c r="D95" s="95">
        <f t="shared" si="4"/>
        <v>-1.1111111111111111E-3</v>
      </c>
      <c r="E95" t="s">
        <v>578</v>
      </c>
      <c r="F95" s="95">
        <f t="shared" si="5"/>
        <v>2.4361948955916472E-2</v>
      </c>
      <c r="G95" s="136">
        <f t="shared" si="3"/>
        <v>-26.631912964641884</v>
      </c>
      <c r="H95" s="187">
        <v>9000</v>
      </c>
      <c r="I95" s="89">
        <v>8824</v>
      </c>
      <c r="J95" s="89">
        <v>1130</v>
      </c>
      <c r="K95" s="89">
        <v>1090</v>
      </c>
      <c r="L95" s="89">
        <v>1065</v>
      </c>
      <c r="M95" s="89">
        <v>1025</v>
      </c>
      <c r="N95" s="89">
        <v>-235000</v>
      </c>
      <c r="O95" s="113" t="s">
        <v>300</v>
      </c>
      <c r="P95" s="256">
        <v>9000</v>
      </c>
      <c r="Q95" s="258">
        <v>8.9</v>
      </c>
      <c r="R95" s="258">
        <v>9</v>
      </c>
      <c r="S95" s="258">
        <v>9</v>
      </c>
      <c r="T95" s="258">
        <v>9</v>
      </c>
      <c r="U95" s="258">
        <v>9</v>
      </c>
      <c r="V95" s="258">
        <v>9</v>
      </c>
      <c r="W95" s="258">
        <v>8.9</v>
      </c>
      <c r="X95" s="258">
        <v>8.9</v>
      </c>
      <c r="Y95" s="258">
        <v>8.9</v>
      </c>
      <c r="Z95" s="258">
        <v>8.9</v>
      </c>
    </row>
    <row r="96" spans="1:26" ht="13.15" x14ac:dyDescent="0.25">
      <c r="A96" t="s">
        <v>698</v>
      </c>
      <c r="C96" s="139" t="s">
        <v>179</v>
      </c>
      <c r="D96" s="95">
        <f t="shared" si="4"/>
        <v>-3.5513541134389371E-3</v>
      </c>
      <c r="E96" t="s">
        <v>173</v>
      </c>
      <c r="F96" s="95">
        <f t="shared" si="5"/>
        <v>1.5447991761071062E-2</v>
      </c>
      <c r="G96" s="136">
        <f t="shared" si="3"/>
        <v>1973.514012935017</v>
      </c>
      <c r="H96" s="187">
        <v>15656</v>
      </c>
      <c r="I96" s="89">
        <v>16235</v>
      </c>
      <c r="J96" s="89">
        <v>1265</v>
      </c>
      <c r="K96" s="89">
        <v>1220</v>
      </c>
      <c r="L96" s="89">
        <v>1180</v>
      </c>
      <c r="M96" s="89">
        <v>1190</v>
      </c>
      <c r="N96" s="89">
        <v>32040000</v>
      </c>
      <c r="O96" s="113" t="s">
        <v>179</v>
      </c>
      <c r="P96" s="256">
        <v>15656</v>
      </c>
      <c r="Q96" s="258">
        <v>15.5</v>
      </c>
      <c r="R96" s="258">
        <v>15.5</v>
      </c>
      <c r="S96" s="258">
        <v>15.5</v>
      </c>
      <c r="T96" s="259">
        <v>15.5</v>
      </c>
      <c r="U96" s="258">
        <v>15.4</v>
      </c>
      <c r="V96" s="258">
        <v>15.3</v>
      </c>
      <c r="W96" s="258">
        <v>15.2</v>
      </c>
      <c r="X96" s="258">
        <v>15.2</v>
      </c>
      <c r="Y96" s="258">
        <v>15.1</v>
      </c>
      <c r="Z96" s="258">
        <v>15.1</v>
      </c>
    </row>
    <row r="97" spans="1:26" ht="13.15" x14ac:dyDescent="0.25">
      <c r="A97" t="s">
        <v>690</v>
      </c>
      <c r="C97" s="139" t="s">
        <v>452</v>
      </c>
      <c r="D97" s="95">
        <f t="shared" si="4"/>
        <v>4.0206963458014437E-3</v>
      </c>
      <c r="E97" t="s">
        <v>578</v>
      </c>
      <c r="F97" s="95">
        <f t="shared" si="5"/>
        <v>1.5851137146795313E-2</v>
      </c>
      <c r="G97" s="136">
        <f t="shared" si="3"/>
        <v>418.14378509303094</v>
      </c>
      <c r="H97" s="187">
        <v>18554</v>
      </c>
      <c r="I97" s="89">
        <v>18166</v>
      </c>
      <c r="J97" s="89">
        <v>1875</v>
      </c>
      <c r="K97" s="89">
        <v>1835</v>
      </c>
      <c r="L97" s="89">
        <v>1785</v>
      </c>
      <c r="M97" s="89">
        <v>1760</v>
      </c>
      <c r="N97" s="89">
        <v>7596000</v>
      </c>
      <c r="O97" s="113" t="s">
        <v>452</v>
      </c>
      <c r="P97" s="256">
        <v>18554</v>
      </c>
      <c r="Q97" s="258">
        <v>18.5</v>
      </c>
      <c r="R97" s="258">
        <v>18.600000000000001</v>
      </c>
      <c r="S97" s="258">
        <v>18.7</v>
      </c>
      <c r="T97" s="258">
        <v>18.8</v>
      </c>
      <c r="U97" s="258">
        <v>18.899999999999999</v>
      </c>
      <c r="V97" s="258">
        <v>19</v>
      </c>
      <c r="W97" s="258">
        <v>19</v>
      </c>
      <c r="X97" s="258">
        <v>19.100000000000001</v>
      </c>
      <c r="Y97" s="258">
        <v>19.2</v>
      </c>
      <c r="Z97" s="258">
        <v>19.3</v>
      </c>
    </row>
    <row r="98" spans="1:26" ht="13.15" x14ac:dyDescent="0.25">
      <c r="A98" t="s">
        <v>699</v>
      </c>
      <c r="C98" s="139" t="s">
        <v>501</v>
      </c>
      <c r="D98" s="95">
        <f t="shared" si="4"/>
        <v>1.9883780685456772E-3</v>
      </c>
      <c r="E98" t="s">
        <v>578</v>
      </c>
      <c r="F98" s="95">
        <f t="shared" si="5"/>
        <v>2.6867627785058978E-2</v>
      </c>
      <c r="G98" s="136">
        <f t="shared" si="3"/>
        <v>822.55741377930701</v>
      </c>
      <c r="H98" s="187">
        <v>25297</v>
      </c>
      <c r="I98" s="89">
        <v>24994</v>
      </c>
      <c r="J98" s="89">
        <v>2030</v>
      </c>
      <c r="K98" s="89">
        <v>1925</v>
      </c>
      <c r="L98" s="89">
        <v>1850</v>
      </c>
      <c r="M98" s="89">
        <v>1825</v>
      </c>
      <c r="N98" s="89">
        <v>20559000</v>
      </c>
      <c r="O98" s="113" t="s">
        <v>501</v>
      </c>
      <c r="P98" s="256">
        <v>25297</v>
      </c>
      <c r="Q98" s="258">
        <v>25.6</v>
      </c>
      <c r="R98" s="258">
        <v>25.7</v>
      </c>
      <c r="S98" s="258">
        <v>26</v>
      </c>
      <c r="T98" s="258">
        <v>26.1</v>
      </c>
      <c r="U98" s="258">
        <v>26.1</v>
      </c>
      <c r="V98" s="258">
        <v>26.3</v>
      </c>
      <c r="W98" s="258">
        <v>26.2</v>
      </c>
      <c r="X98" s="258">
        <v>26.2</v>
      </c>
      <c r="Y98" s="258">
        <v>26</v>
      </c>
      <c r="Z98" s="258">
        <v>25.8</v>
      </c>
    </row>
    <row r="99" spans="1:26" ht="13.15" x14ac:dyDescent="0.25">
      <c r="A99" t="s">
        <v>690</v>
      </c>
      <c r="C99" s="139" t="s">
        <v>453</v>
      </c>
      <c r="D99" s="95">
        <f t="shared" si="4"/>
        <v>5.3865716968075489E-3</v>
      </c>
      <c r="E99" t="s">
        <v>544</v>
      </c>
      <c r="F99" s="95">
        <f t="shared" si="5"/>
        <v>2.6357772074634113E-2</v>
      </c>
      <c r="G99" s="136">
        <f t="shared" si="3"/>
        <v>1370.9149499367015</v>
      </c>
      <c r="H99" s="187">
        <v>226879</v>
      </c>
      <c r="I99" s="89">
        <v>217225</v>
      </c>
      <c r="J99" s="89">
        <v>19080</v>
      </c>
      <c r="K99" s="89">
        <v>18375</v>
      </c>
      <c r="L99" s="89">
        <v>17450</v>
      </c>
      <c r="M99" s="89">
        <v>17180</v>
      </c>
      <c r="N99" s="89">
        <v>297797000</v>
      </c>
      <c r="O99" s="113" t="s">
        <v>453</v>
      </c>
      <c r="P99" s="256">
        <v>226879</v>
      </c>
      <c r="Q99" s="258">
        <v>227.3</v>
      </c>
      <c r="R99" s="258">
        <v>229.8</v>
      </c>
      <c r="S99" s="258">
        <v>231.3</v>
      </c>
      <c r="T99" s="258">
        <v>232.6</v>
      </c>
      <c r="U99" s="258">
        <v>234</v>
      </c>
      <c r="V99" s="258">
        <v>235.2</v>
      </c>
      <c r="W99" s="258">
        <v>236.3</v>
      </c>
      <c r="X99" s="258">
        <v>237.4</v>
      </c>
      <c r="Y99" s="258">
        <v>238.2</v>
      </c>
      <c r="Z99" s="258">
        <v>239.1</v>
      </c>
    </row>
    <row r="100" spans="1:26" ht="13.15" x14ac:dyDescent="0.25">
      <c r="A100" t="s">
        <v>692</v>
      </c>
      <c r="C100" s="139" t="s">
        <v>256</v>
      </c>
      <c r="D100" s="95">
        <f t="shared" si="4"/>
        <v>4.2164227712883752E-3</v>
      </c>
      <c r="E100" t="s">
        <v>578</v>
      </c>
      <c r="F100" s="95">
        <f t="shared" si="5"/>
        <v>2.8809704321455649E-2</v>
      </c>
      <c r="G100" s="136">
        <f t="shared" si="3"/>
        <v>882.4946466809422</v>
      </c>
      <c r="H100" s="187">
        <v>23029</v>
      </c>
      <c r="I100" s="89">
        <v>22416</v>
      </c>
      <c r="J100" s="89">
        <v>1750</v>
      </c>
      <c r="K100" s="89">
        <v>1660</v>
      </c>
      <c r="L100" s="89">
        <v>1625</v>
      </c>
      <c r="M100" s="89">
        <v>1560</v>
      </c>
      <c r="N100" s="89">
        <v>19782000</v>
      </c>
      <c r="O100" s="113" t="s">
        <v>256</v>
      </c>
      <c r="P100" s="256">
        <v>23029</v>
      </c>
      <c r="Q100" s="258">
        <v>23.1</v>
      </c>
      <c r="R100" s="258">
        <v>23.3</v>
      </c>
      <c r="S100" s="258">
        <v>23.4</v>
      </c>
      <c r="T100" s="258">
        <v>23.5</v>
      </c>
      <c r="U100" s="258">
        <v>23.6</v>
      </c>
      <c r="V100" s="258">
        <v>23.7</v>
      </c>
      <c r="W100" s="258">
        <v>23.8</v>
      </c>
      <c r="X100" s="258">
        <v>23.9</v>
      </c>
      <c r="Y100" s="258">
        <v>23.9</v>
      </c>
      <c r="Z100" s="258">
        <v>24</v>
      </c>
    </row>
    <row r="101" spans="1:26" ht="13.15" x14ac:dyDescent="0.25">
      <c r="A101" t="s">
        <v>689</v>
      </c>
      <c r="C101" s="139" t="s">
        <v>165</v>
      </c>
      <c r="D101" s="95">
        <f t="shared" si="4"/>
        <v>-2.7979313167392195E-3</v>
      </c>
      <c r="E101" t="s">
        <v>544</v>
      </c>
      <c r="F101" s="95">
        <f t="shared" si="5"/>
        <v>1.6963822052968668E-2</v>
      </c>
      <c r="G101" s="136">
        <f t="shared" si="3"/>
        <v>2194.2060677336958</v>
      </c>
      <c r="H101" s="187">
        <v>107508</v>
      </c>
      <c r="I101" s="89">
        <v>108838</v>
      </c>
      <c r="J101" s="89">
        <v>7490</v>
      </c>
      <c r="K101" s="89">
        <v>7305</v>
      </c>
      <c r="L101" s="89">
        <v>7090</v>
      </c>
      <c r="M101" s="89">
        <v>7000</v>
      </c>
      <c r="N101" s="89">
        <v>238813000</v>
      </c>
      <c r="O101" s="113" t="s">
        <v>165</v>
      </c>
      <c r="P101" s="256">
        <v>107508</v>
      </c>
      <c r="Q101" s="258">
        <v>107.5</v>
      </c>
      <c r="R101" s="258">
        <v>107.3</v>
      </c>
      <c r="S101" s="258">
        <v>107</v>
      </c>
      <c r="T101" s="258">
        <v>107</v>
      </c>
      <c r="U101" s="258">
        <v>106.7</v>
      </c>
      <c r="V101" s="258">
        <v>106.3</v>
      </c>
      <c r="W101" s="258">
        <v>105.8</v>
      </c>
      <c r="X101" s="258">
        <v>105.4</v>
      </c>
      <c r="Y101" s="258">
        <v>104.9</v>
      </c>
      <c r="Z101" s="258">
        <v>104.5</v>
      </c>
    </row>
    <row r="102" spans="1:26" ht="13.15" x14ac:dyDescent="0.25">
      <c r="A102" t="s">
        <v>691</v>
      </c>
      <c r="C102" s="139" t="s">
        <v>332</v>
      </c>
      <c r="D102" s="95">
        <f t="shared" si="4"/>
        <v>3.9298473530366999E-3</v>
      </c>
      <c r="E102" t="s">
        <v>173</v>
      </c>
      <c r="F102" s="95">
        <f t="shared" si="5"/>
        <v>1.6393442622950821E-2</v>
      </c>
      <c r="G102" s="136">
        <f t="shared" si="3"/>
        <v>1216.2250930589007</v>
      </c>
      <c r="H102" s="187">
        <v>18474</v>
      </c>
      <c r="I102" s="89">
        <v>18268</v>
      </c>
      <c r="J102" s="89">
        <v>1660</v>
      </c>
      <c r="K102" s="89">
        <v>1605</v>
      </c>
      <c r="L102" s="89">
        <v>1585</v>
      </c>
      <c r="M102" s="89">
        <v>1555</v>
      </c>
      <c r="N102" s="89">
        <v>22218000</v>
      </c>
      <c r="O102" s="113" t="s">
        <v>332</v>
      </c>
      <c r="P102" s="256">
        <v>18474</v>
      </c>
      <c r="Q102" s="258">
        <v>18.600000000000001</v>
      </c>
      <c r="R102" s="258">
        <v>18.7</v>
      </c>
      <c r="S102" s="258">
        <v>18.7</v>
      </c>
      <c r="T102" s="258">
        <v>18.8</v>
      </c>
      <c r="U102" s="258">
        <v>18.8</v>
      </c>
      <c r="V102" s="258">
        <v>18.899999999999999</v>
      </c>
      <c r="W102" s="258">
        <v>19</v>
      </c>
      <c r="X102" s="258">
        <v>19.100000000000001</v>
      </c>
      <c r="Y102" s="258">
        <v>19.2</v>
      </c>
      <c r="Z102" s="258">
        <v>19.2</v>
      </c>
    </row>
    <row r="103" spans="1:26" ht="13.15" x14ac:dyDescent="0.25">
      <c r="A103" t="s">
        <v>695</v>
      </c>
      <c r="C103" s="139" t="s">
        <v>222</v>
      </c>
      <c r="D103" s="95">
        <f t="shared" si="4"/>
        <v>1.6807679174412871E-3</v>
      </c>
      <c r="E103" t="s">
        <v>544</v>
      </c>
      <c r="F103" s="95">
        <f t="shared" si="5"/>
        <v>1.6456456456456457E-2</v>
      </c>
      <c r="G103" s="136">
        <f t="shared" si="3"/>
        <v>2964.9030674225551</v>
      </c>
      <c r="H103" s="187">
        <v>158142</v>
      </c>
      <c r="I103" s="89">
        <v>158048</v>
      </c>
      <c r="J103" s="89">
        <v>10780</v>
      </c>
      <c r="K103" s="89">
        <v>10535</v>
      </c>
      <c r="L103" s="89">
        <v>10215</v>
      </c>
      <c r="M103" s="89">
        <v>10095</v>
      </c>
      <c r="N103" s="89">
        <v>468597000</v>
      </c>
      <c r="O103" s="113" t="s">
        <v>222</v>
      </c>
      <c r="P103" s="256">
        <v>158142</v>
      </c>
      <c r="Q103" s="258">
        <v>158.9</v>
      </c>
      <c r="R103" s="258">
        <v>159.30000000000001</v>
      </c>
      <c r="S103" s="258">
        <v>159.6</v>
      </c>
      <c r="T103" s="258">
        <v>159.80000000000001</v>
      </c>
      <c r="U103" s="258">
        <v>160</v>
      </c>
      <c r="V103" s="258">
        <v>160.19999999999999</v>
      </c>
      <c r="W103" s="258">
        <v>160.4</v>
      </c>
      <c r="X103" s="258">
        <v>160.6</v>
      </c>
      <c r="Y103" s="258">
        <v>160.69999999999999</v>
      </c>
      <c r="Z103" s="258">
        <v>160.80000000000001</v>
      </c>
    </row>
    <row r="104" spans="1:26" ht="13.15" x14ac:dyDescent="0.25">
      <c r="A104" t="s">
        <v>692</v>
      </c>
      <c r="C104" s="139" t="s">
        <v>257</v>
      </c>
      <c r="D104" s="95">
        <f t="shared" si="4"/>
        <v>1.0970101097010111E-3</v>
      </c>
      <c r="E104" t="s">
        <v>173</v>
      </c>
      <c r="F104" s="95">
        <f t="shared" si="5"/>
        <v>1.4458955223880597E-2</v>
      </c>
      <c r="G104" s="136">
        <f t="shared" si="3"/>
        <v>237.6456840616255</v>
      </c>
      <c r="H104" s="187">
        <v>32543</v>
      </c>
      <c r="I104" s="89">
        <v>32519</v>
      </c>
      <c r="J104" s="89">
        <v>2775</v>
      </c>
      <c r="K104" s="89">
        <v>2640</v>
      </c>
      <c r="L104" s="89">
        <v>2685</v>
      </c>
      <c r="M104" s="89">
        <v>2620</v>
      </c>
      <c r="N104" s="89">
        <v>7728000</v>
      </c>
      <c r="O104" s="113" t="s">
        <v>257</v>
      </c>
      <c r="P104" s="256">
        <v>32543</v>
      </c>
      <c r="Q104" s="258">
        <v>32.5</v>
      </c>
      <c r="R104" s="258">
        <v>32.5</v>
      </c>
      <c r="S104" s="258">
        <v>32.5</v>
      </c>
      <c r="T104" s="258">
        <v>32.700000000000003</v>
      </c>
      <c r="U104" s="258">
        <v>32.799999999999997</v>
      </c>
      <c r="V104" s="258">
        <v>32.9</v>
      </c>
      <c r="W104" s="258">
        <v>32.9</v>
      </c>
      <c r="X104" s="258">
        <v>32.9</v>
      </c>
      <c r="Y104" s="258">
        <v>32.9</v>
      </c>
      <c r="Z104" s="258">
        <v>32.9</v>
      </c>
    </row>
    <row r="105" spans="1:26" ht="13.15" x14ac:dyDescent="0.25">
      <c r="A105" t="s">
        <v>692</v>
      </c>
      <c r="C105" s="139" t="s">
        <v>258</v>
      </c>
      <c r="D105" s="95">
        <f t="shared" si="4"/>
        <v>-1.1129493156865696E-3</v>
      </c>
      <c r="E105" t="s">
        <v>173</v>
      </c>
      <c r="F105" s="95">
        <f t="shared" si="5"/>
        <v>1.7957351290684626E-2</v>
      </c>
      <c r="G105" s="136">
        <f t="shared" si="3"/>
        <v>-1025.3760477666781</v>
      </c>
      <c r="H105" s="187">
        <v>26596</v>
      </c>
      <c r="I105" s="89">
        <v>26127</v>
      </c>
      <c r="J105" s="89">
        <v>2325</v>
      </c>
      <c r="K105" s="89">
        <v>2250</v>
      </c>
      <c r="L105" s="89">
        <v>2170</v>
      </c>
      <c r="M105" s="89">
        <v>2165</v>
      </c>
      <c r="N105" s="89">
        <v>-26790000</v>
      </c>
      <c r="O105" s="113" t="s">
        <v>258</v>
      </c>
      <c r="P105" s="256">
        <v>26596</v>
      </c>
      <c r="Q105" s="258">
        <v>26.1</v>
      </c>
      <c r="R105" s="258">
        <v>26.1</v>
      </c>
      <c r="S105" s="258">
        <v>26.1</v>
      </c>
      <c r="T105" s="258">
        <v>26.1</v>
      </c>
      <c r="U105" s="258">
        <v>26.2</v>
      </c>
      <c r="V105" s="258">
        <v>26.2</v>
      </c>
      <c r="W105" s="258">
        <v>26.2</v>
      </c>
      <c r="X105" s="258">
        <v>26.2</v>
      </c>
      <c r="Y105" s="258">
        <v>26.3</v>
      </c>
      <c r="Z105" s="258">
        <v>26.3</v>
      </c>
    </row>
    <row r="106" spans="1:26" ht="13.15" x14ac:dyDescent="0.25">
      <c r="A106" t="s">
        <v>690</v>
      </c>
      <c r="C106" s="139" t="s">
        <v>454</v>
      </c>
      <c r="D106" s="95">
        <f t="shared" si="4"/>
        <v>5.0381111730804983E-3</v>
      </c>
      <c r="E106" t="s">
        <v>173</v>
      </c>
      <c r="F106" s="95">
        <f t="shared" si="5"/>
        <v>2.1638330757341576E-2</v>
      </c>
      <c r="G106" s="136">
        <f t="shared" si="3"/>
        <v>723.31621004566205</v>
      </c>
      <c r="H106" s="187">
        <v>43032</v>
      </c>
      <c r="I106" s="89">
        <v>42048</v>
      </c>
      <c r="J106" s="89">
        <v>3370</v>
      </c>
      <c r="K106" s="89">
        <v>3315</v>
      </c>
      <c r="L106" s="89">
        <v>3165</v>
      </c>
      <c r="M106" s="89">
        <v>3090</v>
      </c>
      <c r="N106" s="89">
        <v>30414000</v>
      </c>
      <c r="O106" s="113" t="s">
        <v>454</v>
      </c>
      <c r="P106" s="256">
        <v>43032</v>
      </c>
      <c r="Q106" s="258">
        <v>43.2</v>
      </c>
      <c r="R106" s="258">
        <v>43.5</v>
      </c>
      <c r="S106" s="258">
        <v>43.9</v>
      </c>
      <c r="T106" s="258">
        <v>44.2</v>
      </c>
      <c r="U106" s="258">
        <v>44.4</v>
      </c>
      <c r="V106" s="258">
        <v>44.6</v>
      </c>
      <c r="W106" s="258">
        <v>44.7</v>
      </c>
      <c r="X106" s="258">
        <v>44.9</v>
      </c>
      <c r="Y106" s="258">
        <v>45.1</v>
      </c>
      <c r="Z106" s="258">
        <v>45.2</v>
      </c>
    </row>
    <row r="107" spans="1:26" ht="13.15" x14ac:dyDescent="0.25">
      <c r="A107" t="s">
        <v>693</v>
      </c>
      <c r="C107" s="139" t="s">
        <v>201</v>
      </c>
      <c r="D107" s="95">
        <f t="shared" si="4"/>
        <v>-4.0068689181453919E-4</v>
      </c>
      <c r="E107" t="s">
        <v>173</v>
      </c>
      <c r="F107" s="95">
        <f t="shared" si="5"/>
        <v>2.0833333333333332E-2</v>
      </c>
      <c r="G107" s="136">
        <f t="shared" si="3"/>
        <v>1515.6727396175172</v>
      </c>
      <c r="H107" s="187">
        <v>8735</v>
      </c>
      <c r="I107" s="89">
        <v>8837</v>
      </c>
      <c r="J107" s="89">
        <v>685</v>
      </c>
      <c r="K107" s="89">
        <v>670</v>
      </c>
      <c r="L107" s="89">
        <v>655</v>
      </c>
      <c r="M107" s="89">
        <v>630</v>
      </c>
      <c r="N107" s="89">
        <v>13394000</v>
      </c>
      <c r="O107" s="113" t="s">
        <v>201</v>
      </c>
      <c r="P107" s="256">
        <v>8735</v>
      </c>
      <c r="Q107" s="258">
        <v>8.8000000000000007</v>
      </c>
      <c r="R107" s="258">
        <v>8.8000000000000007</v>
      </c>
      <c r="S107" s="258">
        <v>8.8000000000000007</v>
      </c>
      <c r="T107" s="258">
        <v>8.8000000000000007</v>
      </c>
      <c r="U107" s="258">
        <v>8.8000000000000007</v>
      </c>
      <c r="V107" s="258">
        <v>8.8000000000000007</v>
      </c>
      <c r="W107" s="258">
        <v>8.8000000000000007</v>
      </c>
      <c r="X107" s="258">
        <v>8.8000000000000007</v>
      </c>
      <c r="Y107" s="258">
        <v>8.6999999999999993</v>
      </c>
      <c r="Z107" s="258">
        <v>8.6999999999999993</v>
      </c>
    </row>
    <row r="108" spans="1:26" ht="13.15" x14ac:dyDescent="0.25">
      <c r="A108" t="s">
        <v>693</v>
      </c>
      <c r="C108" s="139" t="s">
        <v>202</v>
      </c>
      <c r="D108" s="95">
        <f t="shared" si="4"/>
        <v>-2.0335460887635445E-3</v>
      </c>
      <c r="E108" t="s">
        <v>173</v>
      </c>
      <c r="F108" s="95">
        <f t="shared" si="5"/>
        <v>1.7842660178426603E-2</v>
      </c>
      <c r="G108" s="136">
        <f t="shared" si="3"/>
        <v>1119.9785491419657</v>
      </c>
      <c r="H108" s="187">
        <v>20211</v>
      </c>
      <c r="I108" s="89">
        <v>20512</v>
      </c>
      <c r="J108" s="89">
        <v>1605</v>
      </c>
      <c r="K108" s="89">
        <v>1545</v>
      </c>
      <c r="L108" s="89">
        <v>1520</v>
      </c>
      <c r="M108" s="89">
        <v>1495</v>
      </c>
      <c r="N108" s="89">
        <v>22973000</v>
      </c>
      <c r="O108" s="113" t="s">
        <v>202</v>
      </c>
      <c r="P108" s="256">
        <v>20211</v>
      </c>
      <c r="Q108" s="258">
        <v>20.3</v>
      </c>
      <c r="R108" s="258">
        <v>20.3</v>
      </c>
      <c r="S108" s="258">
        <v>20.3</v>
      </c>
      <c r="T108" s="258">
        <v>20.3</v>
      </c>
      <c r="U108" s="258">
        <v>20.2</v>
      </c>
      <c r="V108" s="258">
        <v>20.2</v>
      </c>
      <c r="W108" s="258">
        <v>20.100000000000001</v>
      </c>
      <c r="X108" s="258">
        <v>20</v>
      </c>
      <c r="Y108" s="258">
        <v>19.899999999999999</v>
      </c>
      <c r="Z108" s="258">
        <v>19.8</v>
      </c>
    </row>
    <row r="109" spans="1:26" ht="13.15" x14ac:dyDescent="0.25">
      <c r="A109" t="s">
        <v>690</v>
      </c>
      <c r="C109" s="139" t="s">
        <v>455</v>
      </c>
      <c r="D109" s="95">
        <f t="shared" si="4"/>
        <v>3.2462096549158216E-3</v>
      </c>
      <c r="E109" t="s">
        <v>578</v>
      </c>
      <c r="F109" s="95">
        <f t="shared" si="5"/>
        <v>1.643835616438356E-2</v>
      </c>
      <c r="G109" s="136">
        <f t="shared" si="3"/>
        <v>605.51441479204505</v>
      </c>
      <c r="H109" s="187">
        <v>21502</v>
      </c>
      <c r="I109" s="89">
        <v>21471</v>
      </c>
      <c r="J109" s="89">
        <v>1890</v>
      </c>
      <c r="K109" s="89">
        <v>1825</v>
      </c>
      <c r="L109" s="89">
        <v>1815</v>
      </c>
      <c r="M109" s="89">
        <v>1770</v>
      </c>
      <c r="N109" s="89">
        <v>13001000</v>
      </c>
      <c r="O109" s="113" t="s">
        <v>455</v>
      </c>
      <c r="P109" s="256">
        <v>21502</v>
      </c>
      <c r="Q109" s="258">
        <v>21.6</v>
      </c>
      <c r="R109" s="258">
        <v>21.7</v>
      </c>
      <c r="S109" s="258">
        <v>21.7</v>
      </c>
      <c r="T109" s="258">
        <v>21.8</v>
      </c>
      <c r="U109" s="258">
        <v>21.8</v>
      </c>
      <c r="V109" s="258">
        <v>21.9</v>
      </c>
      <c r="W109" s="258">
        <v>22</v>
      </c>
      <c r="X109" s="258">
        <v>22</v>
      </c>
      <c r="Y109" s="258">
        <v>22.1</v>
      </c>
      <c r="Z109" s="258">
        <v>22.2</v>
      </c>
    </row>
    <row r="110" spans="1:26" ht="13.15" x14ac:dyDescent="0.25">
      <c r="A110" t="s">
        <v>692</v>
      </c>
      <c r="C110" s="139" t="s">
        <v>259</v>
      </c>
      <c r="D110" s="95">
        <f t="shared" si="4"/>
        <v>3.7595398323245236E-6</v>
      </c>
      <c r="E110" t="s">
        <v>578</v>
      </c>
      <c r="F110" s="95">
        <f t="shared" si="5"/>
        <v>1.4898419864559819E-2</v>
      </c>
      <c r="G110" s="136">
        <f t="shared" si="3"/>
        <v>2651.59109895952</v>
      </c>
      <c r="H110" s="187">
        <v>26599</v>
      </c>
      <c r="I110" s="89">
        <v>26334</v>
      </c>
      <c r="J110" s="89">
        <v>2865</v>
      </c>
      <c r="K110" s="89">
        <v>2805</v>
      </c>
      <c r="L110" s="89">
        <v>2705</v>
      </c>
      <c r="M110" s="89">
        <v>2700</v>
      </c>
      <c r="N110" s="89">
        <v>69827000</v>
      </c>
      <c r="O110" s="113" t="s">
        <v>259</v>
      </c>
      <c r="P110" s="256">
        <v>26599</v>
      </c>
      <c r="Q110" s="258">
        <v>26.4</v>
      </c>
      <c r="R110" s="258">
        <v>26.4</v>
      </c>
      <c r="S110" s="258">
        <v>26.4</v>
      </c>
      <c r="T110" s="258">
        <v>26.5</v>
      </c>
      <c r="U110" s="258">
        <v>26.6</v>
      </c>
      <c r="V110" s="258">
        <v>26.6</v>
      </c>
      <c r="W110" s="258">
        <v>26.6</v>
      </c>
      <c r="X110" s="258">
        <v>26.6</v>
      </c>
      <c r="Y110" s="258">
        <v>26.6</v>
      </c>
      <c r="Z110" s="258">
        <v>26.6</v>
      </c>
    </row>
    <row r="111" spans="1:26" ht="13.15" x14ac:dyDescent="0.25">
      <c r="A111" t="s">
        <v>690</v>
      </c>
      <c r="C111" s="139" t="s">
        <v>456</v>
      </c>
      <c r="D111" s="95">
        <f t="shared" si="4"/>
        <v>2.3803429741489635E-3</v>
      </c>
      <c r="E111" t="s">
        <v>173</v>
      </c>
      <c r="F111" s="95">
        <f t="shared" si="5"/>
        <v>1.8045774647887324E-2</v>
      </c>
      <c r="G111" s="136">
        <f t="shared" si="3"/>
        <v>1096.1702567815676</v>
      </c>
      <c r="H111" s="187">
        <v>39070</v>
      </c>
      <c r="I111" s="89">
        <v>38671</v>
      </c>
      <c r="J111" s="89">
        <v>2955</v>
      </c>
      <c r="K111" s="89">
        <v>2865</v>
      </c>
      <c r="L111" s="89">
        <v>2790</v>
      </c>
      <c r="M111" s="89">
        <v>2750</v>
      </c>
      <c r="N111" s="89">
        <v>42390000</v>
      </c>
      <c r="O111" s="113" t="s">
        <v>456</v>
      </c>
      <c r="P111" s="256">
        <v>39070</v>
      </c>
      <c r="Q111" s="258">
        <v>39.299999999999997</v>
      </c>
      <c r="R111" s="258">
        <v>39.5</v>
      </c>
      <c r="S111" s="258">
        <v>39.6</v>
      </c>
      <c r="T111" s="258">
        <v>39.6</v>
      </c>
      <c r="U111" s="258">
        <v>39.700000000000003</v>
      </c>
      <c r="V111" s="258">
        <v>39.700000000000003</v>
      </c>
      <c r="W111" s="258">
        <v>39.700000000000003</v>
      </c>
      <c r="X111" s="258">
        <v>39.799999999999997</v>
      </c>
      <c r="Y111" s="258">
        <v>39.9</v>
      </c>
      <c r="Z111" s="258">
        <v>40</v>
      </c>
    </row>
    <row r="112" spans="1:26" ht="13.15" x14ac:dyDescent="0.25">
      <c r="A112" t="s">
        <v>690</v>
      </c>
      <c r="C112" s="139" t="s">
        <v>457</v>
      </c>
      <c r="D112" s="95">
        <f t="shared" si="4"/>
        <v>2.5572722429408629E-3</v>
      </c>
      <c r="E112" t="s">
        <v>173</v>
      </c>
      <c r="F112" s="95">
        <f t="shared" si="5"/>
        <v>1.8975332068311195E-2</v>
      </c>
      <c r="G112" s="136">
        <f t="shared" si="3"/>
        <v>3763.8166729795807</v>
      </c>
      <c r="H112" s="187">
        <v>30032</v>
      </c>
      <c r="I112" s="89">
        <v>29041</v>
      </c>
      <c r="J112" s="89">
        <v>2735</v>
      </c>
      <c r="K112" s="89">
        <v>2685</v>
      </c>
      <c r="L112" s="89">
        <v>2585</v>
      </c>
      <c r="M112" s="89">
        <v>2535</v>
      </c>
      <c r="N112" s="89">
        <v>109305000</v>
      </c>
      <c r="O112" s="113" t="s">
        <v>457</v>
      </c>
      <c r="P112" s="256">
        <v>30032</v>
      </c>
      <c r="Q112" s="258">
        <v>29.8</v>
      </c>
      <c r="R112" s="258">
        <v>29.9</v>
      </c>
      <c r="S112" s="258">
        <v>30.1</v>
      </c>
      <c r="T112" s="258">
        <v>30.2</v>
      </c>
      <c r="U112" s="258">
        <v>30.3</v>
      </c>
      <c r="V112" s="258">
        <v>30.3</v>
      </c>
      <c r="W112" s="258">
        <v>30.4</v>
      </c>
      <c r="X112" s="258">
        <v>30.5</v>
      </c>
      <c r="Y112" s="258">
        <v>30.6</v>
      </c>
      <c r="Z112" s="258">
        <v>30.8</v>
      </c>
    </row>
    <row r="113" spans="1:26" ht="13.15" x14ac:dyDescent="0.25">
      <c r="A113" t="s">
        <v>699</v>
      </c>
      <c r="C113" s="139" t="s">
        <v>502</v>
      </c>
      <c r="D113" s="95">
        <f t="shared" si="4"/>
        <v>-7.5310876291669103E-4</v>
      </c>
      <c r="E113" t="s">
        <v>173</v>
      </c>
      <c r="F113" s="95">
        <f t="shared" si="5"/>
        <v>1.7189079878665317E-2</v>
      </c>
      <c r="G113" s="136">
        <f t="shared" si="3"/>
        <v>1375.3670754879945</v>
      </c>
      <c r="H113" s="187">
        <v>17129</v>
      </c>
      <c r="I113" s="89">
        <v>17367</v>
      </c>
      <c r="J113" s="89">
        <v>1285</v>
      </c>
      <c r="K113" s="89">
        <v>1245</v>
      </c>
      <c r="L113" s="89">
        <v>1215</v>
      </c>
      <c r="M113" s="89">
        <v>1200</v>
      </c>
      <c r="N113" s="89">
        <v>23886000</v>
      </c>
      <c r="O113" s="113" t="s">
        <v>502</v>
      </c>
      <c r="P113" s="256">
        <v>17129</v>
      </c>
      <c r="Q113" s="258">
        <v>17.2</v>
      </c>
      <c r="R113" s="258">
        <v>17.2</v>
      </c>
      <c r="S113" s="258">
        <v>17.2</v>
      </c>
      <c r="T113" s="258">
        <v>17.2</v>
      </c>
      <c r="U113" s="258">
        <v>17.2</v>
      </c>
      <c r="V113" s="258">
        <v>17.2</v>
      </c>
      <c r="W113" s="258">
        <v>17.100000000000001</v>
      </c>
      <c r="X113" s="258">
        <v>17.100000000000001</v>
      </c>
      <c r="Y113" s="258">
        <v>17</v>
      </c>
      <c r="Z113" s="258">
        <v>17</v>
      </c>
    </row>
    <row r="114" spans="1:26" ht="13.15" x14ac:dyDescent="0.25">
      <c r="A114" t="s">
        <v>694</v>
      </c>
      <c r="C114" s="139" t="s">
        <v>375</v>
      </c>
      <c r="D114" s="95">
        <f t="shared" si="4"/>
        <v>2.7538018906699551E-3</v>
      </c>
      <c r="E114" t="s">
        <v>578</v>
      </c>
      <c r="F114" s="95">
        <f t="shared" si="5"/>
        <v>1.020408163265306E-2</v>
      </c>
      <c r="G114" s="136">
        <f t="shared" si="3"/>
        <v>-5618.2106424041904</v>
      </c>
      <c r="H114" s="187">
        <v>14598</v>
      </c>
      <c r="I114" s="89">
        <v>14508</v>
      </c>
      <c r="J114" s="89">
        <v>1505</v>
      </c>
      <c r="K114" s="89">
        <v>1485</v>
      </c>
      <c r="L114" s="89">
        <v>1445</v>
      </c>
      <c r="M114" s="89">
        <v>1445</v>
      </c>
      <c r="N114" s="89">
        <v>-81509000</v>
      </c>
      <c r="O114" s="113" t="s">
        <v>375</v>
      </c>
      <c r="P114" s="256">
        <v>14598</v>
      </c>
      <c r="Q114" s="258">
        <v>14.7</v>
      </c>
      <c r="R114" s="258">
        <v>14.8</v>
      </c>
      <c r="S114" s="258">
        <v>14.8</v>
      </c>
      <c r="T114" s="258">
        <v>14.9</v>
      </c>
      <c r="U114" s="258">
        <v>14.9</v>
      </c>
      <c r="V114" s="258">
        <v>14.9</v>
      </c>
      <c r="W114" s="258">
        <v>14.9</v>
      </c>
      <c r="X114" s="258">
        <v>15</v>
      </c>
      <c r="Y114" s="258">
        <v>15</v>
      </c>
      <c r="Z114" s="258">
        <v>15</v>
      </c>
    </row>
    <row r="115" spans="1:26" ht="13.15" x14ac:dyDescent="0.25">
      <c r="A115" t="s">
        <v>690</v>
      </c>
      <c r="C115" s="139" t="s">
        <v>458</v>
      </c>
      <c r="D115" s="95">
        <f t="shared" si="4"/>
        <v>1.749171144392363E-3</v>
      </c>
      <c r="E115" t="s">
        <v>578</v>
      </c>
      <c r="F115" s="95">
        <f t="shared" si="5"/>
        <v>1.6466117796073463E-2</v>
      </c>
      <c r="G115" s="136">
        <f t="shared" si="3"/>
        <v>908.24182265817342</v>
      </c>
      <c r="H115" s="187">
        <v>26241</v>
      </c>
      <c r="I115" s="89">
        <v>25589</v>
      </c>
      <c r="J115" s="89">
        <v>2045</v>
      </c>
      <c r="K115" s="89">
        <v>1995</v>
      </c>
      <c r="L115" s="89">
        <v>1940</v>
      </c>
      <c r="M115" s="89">
        <v>1915</v>
      </c>
      <c r="N115" s="89">
        <v>23241000</v>
      </c>
      <c r="O115" s="113" t="s">
        <v>458</v>
      </c>
      <c r="P115" s="256">
        <v>26241</v>
      </c>
      <c r="Q115" s="258">
        <v>26.7</v>
      </c>
      <c r="R115" s="258">
        <v>26.9</v>
      </c>
      <c r="S115" s="258">
        <v>26.9</v>
      </c>
      <c r="T115" s="258">
        <v>26.8</v>
      </c>
      <c r="U115" s="258">
        <v>26.8</v>
      </c>
      <c r="V115" s="258">
        <v>26.9</v>
      </c>
      <c r="W115" s="258">
        <v>26.9</v>
      </c>
      <c r="X115" s="258">
        <v>26.8</v>
      </c>
      <c r="Y115" s="258">
        <v>26.7</v>
      </c>
      <c r="Z115" s="258">
        <v>26.7</v>
      </c>
    </row>
    <row r="116" spans="1:26" ht="13.15" x14ac:dyDescent="0.25">
      <c r="A116" t="s">
        <v>694</v>
      </c>
      <c r="C116" s="139" t="s">
        <v>376</v>
      </c>
      <c r="D116" s="95">
        <f t="shared" si="4"/>
        <v>-5.3636382318489144E-4</v>
      </c>
      <c r="E116" t="s">
        <v>578</v>
      </c>
      <c r="F116" s="95">
        <f t="shared" si="5"/>
        <v>2.4837007140639553E-2</v>
      </c>
      <c r="G116" s="136">
        <f t="shared" si="3"/>
        <v>1207.8365623447592</v>
      </c>
      <c r="H116" s="187">
        <v>48661</v>
      </c>
      <c r="I116" s="89">
        <v>48312</v>
      </c>
      <c r="J116" s="89">
        <v>4245</v>
      </c>
      <c r="K116" s="89">
        <v>4065</v>
      </c>
      <c r="L116" s="89">
        <v>3950</v>
      </c>
      <c r="M116" s="89">
        <v>3845</v>
      </c>
      <c r="N116" s="89">
        <v>58353000</v>
      </c>
      <c r="O116" s="113" t="s">
        <v>376</v>
      </c>
      <c r="P116" s="256">
        <v>48661</v>
      </c>
      <c r="Q116" s="258">
        <v>48</v>
      </c>
      <c r="R116" s="258">
        <v>48</v>
      </c>
      <c r="S116" s="258">
        <v>48.1</v>
      </c>
      <c r="T116" s="258">
        <v>48.2</v>
      </c>
      <c r="U116" s="258">
        <v>48.2</v>
      </c>
      <c r="V116" s="258">
        <v>48.3</v>
      </c>
      <c r="W116" s="258">
        <v>48.3</v>
      </c>
      <c r="X116" s="258">
        <v>48.4</v>
      </c>
      <c r="Y116" s="258">
        <v>48.4</v>
      </c>
      <c r="Z116" s="258">
        <v>48.4</v>
      </c>
    </row>
    <row r="117" spans="1:26" ht="13.15" x14ac:dyDescent="0.25">
      <c r="A117" t="s">
        <v>701</v>
      </c>
      <c r="C117" s="139" t="s">
        <v>422</v>
      </c>
      <c r="D117" s="95">
        <f t="shared" si="4"/>
        <v>3.0706463388447498E-3</v>
      </c>
      <c r="E117" t="s">
        <v>173</v>
      </c>
      <c r="F117" s="95">
        <f t="shared" si="5"/>
        <v>2.0481927710843374E-2</v>
      </c>
      <c r="G117" s="136">
        <f t="shared" si="3"/>
        <v>2959.1560358603506</v>
      </c>
      <c r="H117" s="187">
        <v>37256</v>
      </c>
      <c r="I117" s="89">
        <v>36921</v>
      </c>
      <c r="J117" s="89">
        <v>3255</v>
      </c>
      <c r="K117" s="89">
        <v>3165</v>
      </c>
      <c r="L117" s="89">
        <v>3030</v>
      </c>
      <c r="M117" s="89">
        <v>3000</v>
      </c>
      <c r="N117" s="89">
        <v>109255000</v>
      </c>
      <c r="O117" s="113" t="s">
        <v>422</v>
      </c>
      <c r="P117" s="256">
        <v>37256</v>
      </c>
      <c r="Q117" s="258">
        <v>37.200000000000003</v>
      </c>
      <c r="R117" s="258">
        <v>37.4</v>
      </c>
      <c r="S117" s="258">
        <v>37.6</v>
      </c>
      <c r="T117" s="258">
        <v>37.700000000000003</v>
      </c>
      <c r="U117" s="258">
        <v>37.799999999999997</v>
      </c>
      <c r="V117" s="258">
        <v>37.9</v>
      </c>
      <c r="W117" s="258">
        <v>38</v>
      </c>
      <c r="X117" s="258">
        <v>38.1</v>
      </c>
      <c r="Y117" s="258">
        <v>38.299999999999997</v>
      </c>
      <c r="Z117" s="258">
        <v>38.4</v>
      </c>
    </row>
    <row r="118" spans="1:26" ht="13.15" x14ac:dyDescent="0.25">
      <c r="A118" t="s">
        <v>690</v>
      </c>
      <c r="C118" s="139" t="s">
        <v>459</v>
      </c>
      <c r="D118" s="95">
        <f t="shared" si="4"/>
        <v>7.8915765997598214E-4</v>
      </c>
      <c r="E118" t="s">
        <v>578</v>
      </c>
      <c r="F118" s="95">
        <f t="shared" si="5"/>
        <v>2.1111893033075299E-2</v>
      </c>
      <c r="G118" s="136">
        <f t="shared" si="3"/>
        <v>1108.3972812979609</v>
      </c>
      <c r="H118" s="187">
        <v>23316</v>
      </c>
      <c r="I118" s="89">
        <v>22805</v>
      </c>
      <c r="J118" s="89">
        <v>1850</v>
      </c>
      <c r="K118" s="89">
        <v>1795</v>
      </c>
      <c r="L118" s="89">
        <v>1760</v>
      </c>
      <c r="M118" s="89">
        <v>1700</v>
      </c>
      <c r="N118" s="89">
        <v>25277000</v>
      </c>
      <c r="O118" s="113" t="s">
        <v>459</v>
      </c>
      <c r="P118" s="256">
        <v>23316</v>
      </c>
      <c r="Q118" s="258">
        <v>23.2</v>
      </c>
      <c r="R118" s="258">
        <v>23.3</v>
      </c>
      <c r="S118" s="258">
        <v>23.3</v>
      </c>
      <c r="T118" s="258">
        <v>23.4</v>
      </c>
      <c r="U118" s="258">
        <v>23.3</v>
      </c>
      <c r="V118" s="258">
        <v>23.4</v>
      </c>
      <c r="W118" s="258">
        <v>23.4</v>
      </c>
      <c r="X118" s="258">
        <v>23.4</v>
      </c>
      <c r="Y118" s="258">
        <v>23.4</v>
      </c>
      <c r="Z118" s="258">
        <v>23.5</v>
      </c>
    </row>
    <row r="119" spans="1:26" ht="13.15" x14ac:dyDescent="0.25">
      <c r="A119" t="s">
        <v>691</v>
      </c>
      <c r="C119" s="139" t="s">
        <v>637</v>
      </c>
      <c r="D119" s="95">
        <f t="shared" si="4"/>
        <v>7.4947782282837002E-4</v>
      </c>
      <c r="E119" t="s">
        <v>173</v>
      </c>
      <c r="F119" s="95">
        <f t="shared" si="5"/>
        <v>2.278844428494527E-2</v>
      </c>
      <c r="G119" s="136">
        <f t="shared" si="3"/>
        <v>1191.0022414345181</v>
      </c>
      <c r="H119" s="187">
        <v>56973</v>
      </c>
      <c r="I119" s="89">
        <v>56214</v>
      </c>
      <c r="J119" s="89">
        <v>7345</v>
      </c>
      <c r="K119" s="89">
        <v>7050</v>
      </c>
      <c r="L119" s="89">
        <v>6760</v>
      </c>
      <c r="M119" s="89">
        <v>6710</v>
      </c>
      <c r="N119" s="89">
        <v>66951000</v>
      </c>
      <c r="O119" s="113" t="s">
        <v>637</v>
      </c>
      <c r="P119" s="256">
        <v>56973</v>
      </c>
      <c r="Q119" s="258">
        <v>56.699999999999996</v>
      </c>
      <c r="R119" s="258">
        <v>56.8</v>
      </c>
      <c r="S119" s="258">
        <v>57</v>
      </c>
      <c r="T119" s="258">
        <v>57</v>
      </c>
      <c r="U119" s="258">
        <v>57</v>
      </c>
      <c r="V119" s="258">
        <v>57.3</v>
      </c>
      <c r="W119" s="258">
        <v>57.5</v>
      </c>
      <c r="X119" s="258">
        <v>57.5</v>
      </c>
      <c r="Y119" s="258">
        <v>57.400000000000006</v>
      </c>
      <c r="Z119" s="258">
        <v>57.400000000000006</v>
      </c>
    </row>
    <row r="120" spans="1:26" ht="13.15" x14ac:dyDescent="0.25">
      <c r="A120" t="s">
        <v>694</v>
      </c>
      <c r="C120" s="139" t="s">
        <v>377</v>
      </c>
      <c r="D120" s="95">
        <f t="shared" si="4"/>
        <v>-9.6516995383969786E-4</v>
      </c>
      <c r="E120" t="s">
        <v>544</v>
      </c>
      <c r="F120" s="95">
        <f t="shared" si="5"/>
        <v>1.9930675909878681E-2</v>
      </c>
      <c r="G120" s="136">
        <f t="shared" si="3"/>
        <v>5256.4489923894762</v>
      </c>
      <c r="H120" s="187">
        <v>35745</v>
      </c>
      <c r="I120" s="89">
        <v>35083</v>
      </c>
      <c r="J120" s="89">
        <v>2985</v>
      </c>
      <c r="K120" s="89">
        <v>2955</v>
      </c>
      <c r="L120" s="89">
        <v>2845</v>
      </c>
      <c r="M120" s="89">
        <v>2755</v>
      </c>
      <c r="N120" s="89">
        <v>184412000</v>
      </c>
      <c r="O120" s="113" t="s">
        <v>377</v>
      </c>
      <c r="P120" s="256">
        <v>35745</v>
      </c>
      <c r="Q120" s="258">
        <v>35.299999999999997</v>
      </c>
      <c r="R120" s="258">
        <v>35.299999999999997</v>
      </c>
      <c r="S120" s="258">
        <v>35.4</v>
      </c>
      <c r="T120" s="258">
        <v>35.6</v>
      </c>
      <c r="U120" s="258">
        <v>35.6</v>
      </c>
      <c r="V120" s="258">
        <v>35.6</v>
      </c>
      <c r="W120" s="258">
        <v>35.5</v>
      </c>
      <c r="X120" s="258">
        <v>35.5</v>
      </c>
      <c r="Y120" s="258">
        <v>35.4</v>
      </c>
      <c r="Z120" s="258">
        <v>35.4</v>
      </c>
    </row>
    <row r="121" spans="1:26" ht="13.15" x14ac:dyDescent="0.25">
      <c r="A121" t="s">
        <v>694</v>
      </c>
      <c r="C121" s="139" t="s">
        <v>378</v>
      </c>
      <c r="D121" s="95">
        <f t="shared" si="4"/>
        <v>3.6832643505163259E-3</v>
      </c>
      <c r="E121" t="s">
        <v>544</v>
      </c>
      <c r="F121" s="95">
        <f t="shared" si="5"/>
        <v>1.7705927636643571E-2</v>
      </c>
      <c r="G121" s="136">
        <f t="shared" si="3"/>
        <v>3208.7597388923982</v>
      </c>
      <c r="H121" s="187">
        <v>71757</v>
      </c>
      <c r="I121" s="89">
        <v>71235</v>
      </c>
      <c r="J121" s="89">
        <v>5100</v>
      </c>
      <c r="K121" s="89">
        <v>4940</v>
      </c>
      <c r="L121" s="89">
        <v>4690</v>
      </c>
      <c r="M121" s="89">
        <v>4755</v>
      </c>
      <c r="N121" s="89">
        <v>228576000</v>
      </c>
      <c r="O121" s="113" t="s">
        <v>378</v>
      </c>
      <c r="P121" s="256">
        <v>71757</v>
      </c>
      <c r="Q121" s="258">
        <v>71.5</v>
      </c>
      <c r="R121" s="258">
        <v>71.8</v>
      </c>
      <c r="S121" s="258">
        <v>72.2</v>
      </c>
      <c r="T121" s="258">
        <v>72.5</v>
      </c>
      <c r="U121" s="258">
        <v>72.900000000000006</v>
      </c>
      <c r="V121" s="258">
        <v>73.2</v>
      </c>
      <c r="W121" s="258">
        <v>73.599999999999994</v>
      </c>
      <c r="X121" s="258">
        <v>73.900000000000006</v>
      </c>
      <c r="Y121" s="258">
        <v>74.2</v>
      </c>
      <c r="Z121" s="258">
        <v>74.400000000000006</v>
      </c>
    </row>
    <row r="122" spans="1:26" ht="13.15" x14ac:dyDescent="0.25">
      <c r="A122" t="s">
        <v>690</v>
      </c>
      <c r="C122" s="139" t="s">
        <v>460</v>
      </c>
      <c r="D122" s="95">
        <f t="shared" si="4"/>
        <v>-6.5422825296825775E-4</v>
      </c>
      <c r="E122" t="s">
        <v>173</v>
      </c>
      <c r="F122" s="95">
        <f t="shared" si="5"/>
        <v>2.4096385542168676E-2</v>
      </c>
      <c r="G122" s="136">
        <f t="shared" si="3"/>
        <v>-931.32275959059302</v>
      </c>
      <c r="H122" s="187">
        <v>12381</v>
      </c>
      <c r="I122" s="89">
        <v>12799</v>
      </c>
      <c r="J122" s="89">
        <v>870</v>
      </c>
      <c r="K122" s="89">
        <v>855</v>
      </c>
      <c r="L122" s="89">
        <v>805</v>
      </c>
      <c r="M122" s="89">
        <v>790</v>
      </c>
      <c r="N122" s="89">
        <v>-11920000</v>
      </c>
      <c r="O122" s="113" t="s">
        <v>460</v>
      </c>
      <c r="P122" s="256">
        <v>12381</v>
      </c>
      <c r="Q122" s="258">
        <v>13.1</v>
      </c>
      <c r="R122" s="258">
        <v>13.2</v>
      </c>
      <c r="S122" s="258">
        <v>13</v>
      </c>
      <c r="T122" s="258">
        <v>12.8</v>
      </c>
      <c r="U122" s="258">
        <v>12.7</v>
      </c>
      <c r="V122" s="258">
        <v>12.6</v>
      </c>
      <c r="W122" s="258">
        <v>12.5</v>
      </c>
      <c r="X122" s="258">
        <v>12.4</v>
      </c>
      <c r="Y122" s="258">
        <v>12.4</v>
      </c>
      <c r="Z122" s="258">
        <v>12.3</v>
      </c>
    </row>
    <row r="123" spans="1:26" ht="13.15" x14ac:dyDescent="0.25">
      <c r="A123" t="s">
        <v>698</v>
      </c>
      <c r="C123" s="139" t="s">
        <v>180</v>
      </c>
      <c r="D123" s="95">
        <f t="shared" si="4"/>
        <v>7.5247475624581339E-3</v>
      </c>
      <c r="E123" t="s">
        <v>544</v>
      </c>
      <c r="F123" s="95">
        <f t="shared" si="5"/>
        <v>2.7513410624675549E-2</v>
      </c>
      <c r="G123" s="136">
        <f t="shared" si="3"/>
        <v>2768.4114598165975</v>
      </c>
      <c r="H123" s="187">
        <v>201535</v>
      </c>
      <c r="I123" s="89">
        <v>193127</v>
      </c>
      <c r="J123" s="89">
        <v>15335</v>
      </c>
      <c r="K123" s="89">
        <v>14695</v>
      </c>
      <c r="L123" s="89">
        <v>14015</v>
      </c>
      <c r="M123" s="89">
        <v>13745</v>
      </c>
      <c r="N123" s="89">
        <v>534655000</v>
      </c>
      <c r="O123" s="113" t="s">
        <v>180</v>
      </c>
      <c r="P123" s="256">
        <v>201535</v>
      </c>
      <c r="Q123" s="258">
        <v>203.8</v>
      </c>
      <c r="R123" s="258">
        <v>206</v>
      </c>
      <c r="S123" s="258">
        <v>207.9</v>
      </c>
      <c r="T123" s="258">
        <v>209.3</v>
      </c>
      <c r="U123" s="258">
        <v>210.8</v>
      </c>
      <c r="V123" s="258">
        <v>212.5</v>
      </c>
      <c r="W123" s="258">
        <v>214</v>
      </c>
      <c r="X123" s="258">
        <v>215.3</v>
      </c>
      <c r="Y123" s="258">
        <v>216.2</v>
      </c>
      <c r="Z123" s="258">
        <v>216.7</v>
      </c>
    </row>
    <row r="124" spans="1:26" ht="13.15" x14ac:dyDescent="0.25">
      <c r="A124" t="s">
        <v>698</v>
      </c>
      <c r="C124" s="139" t="s">
        <v>181</v>
      </c>
      <c r="D124" s="95">
        <f t="shared" si="4"/>
        <v>4.3892816044714782E-3</v>
      </c>
      <c r="E124" t="s">
        <v>173</v>
      </c>
      <c r="F124" s="95">
        <f t="shared" si="5"/>
        <v>3.2341526520051747E-2</v>
      </c>
      <c r="G124" s="136">
        <f t="shared" si="3"/>
        <v>2209.7759674134418</v>
      </c>
      <c r="H124" s="187">
        <v>12166</v>
      </c>
      <c r="I124" s="89">
        <v>12275</v>
      </c>
      <c r="J124" s="89">
        <v>1040</v>
      </c>
      <c r="K124" s="89">
        <v>990</v>
      </c>
      <c r="L124" s="89">
        <v>920</v>
      </c>
      <c r="M124" s="89">
        <v>915</v>
      </c>
      <c r="N124" s="89">
        <v>27125000</v>
      </c>
      <c r="O124" s="113" t="s">
        <v>181</v>
      </c>
      <c r="P124" s="256">
        <v>12166</v>
      </c>
      <c r="Q124" s="258">
        <v>12.4</v>
      </c>
      <c r="R124" s="258">
        <v>12.4</v>
      </c>
      <c r="S124" s="258">
        <v>12.5</v>
      </c>
      <c r="T124" s="258">
        <v>12.6</v>
      </c>
      <c r="U124" s="258">
        <v>12.6</v>
      </c>
      <c r="V124" s="258">
        <v>12.7</v>
      </c>
      <c r="W124" s="258">
        <v>12.7</v>
      </c>
      <c r="X124" s="258">
        <v>12.7</v>
      </c>
      <c r="Y124" s="258">
        <v>12.7</v>
      </c>
      <c r="Z124" s="258">
        <v>12.7</v>
      </c>
    </row>
    <row r="125" spans="1:26" ht="13.15" x14ac:dyDescent="0.25">
      <c r="A125" t="s">
        <v>699</v>
      </c>
      <c r="C125" s="139" t="s">
        <v>503</v>
      </c>
      <c r="D125" s="95">
        <f t="shared" si="4"/>
        <v>3.2870402679879966E-3</v>
      </c>
      <c r="E125" t="s">
        <v>578</v>
      </c>
      <c r="F125" s="95">
        <f t="shared" si="5"/>
        <v>2.2940563086548488E-2</v>
      </c>
      <c r="G125" s="136">
        <f t="shared" si="3"/>
        <v>116.85889909524138</v>
      </c>
      <c r="H125" s="187">
        <v>14329</v>
      </c>
      <c r="I125" s="89">
        <v>14479</v>
      </c>
      <c r="J125" s="89">
        <v>1260</v>
      </c>
      <c r="K125" s="89">
        <v>1220</v>
      </c>
      <c r="L125" s="89">
        <v>1165</v>
      </c>
      <c r="M125" s="89">
        <v>1150</v>
      </c>
      <c r="N125" s="89">
        <v>1692000</v>
      </c>
      <c r="O125" s="113" t="s">
        <v>503</v>
      </c>
      <c r="P125" s="256">
        <v>14329</v>
      </c>
      <c r="Q125" s="258">
        <v>14.7</v>
      </c>
      <c r="R125" s="258">
        <v>14.7</v>
      </c>
      <c r="S125" s="258">
        <v>14.8</v>
      </c>
      <c r="T125" s="258">
        <v>14.8</v>
      </c>
      <c r="U125" s="258">
        <v>14.8</v>
      </c>
      <c r="V125" s="258">
        <v>14.8</v>
      </c>
      <c r="W125" s="258">
        <v>14.8</v>
      </c>
      <c r="X125" s="258">
        <v>14.8</v>
      </c>
      <c r="Y125" s="258">
        <v>14.8</v>
      </c>
      <c r="Z125" s="258">
        <v>14.8</v>
      </c>
    </row>
    <row r="126" spans="1:26" ht="13.15" x14ac:dyDescent="0.25">
      <c r="A126" t="s">
        <v>695</v>
      </c>
      <c r="C126" s="139" t="s">
        <v>223</v>
      </c>
      <c r="D126" s="95">
        <f t="shared" si="4"/>
        <v>1.1948415804870009E-4</v>
      </c>
      <c r="E126" t="s">
        <v>173</v>
      </c>
      <c r="F126" s="95">
        <f t="shared" si="5"/>
        <v>2.0779220779220779E-2</v>
      </c>
      <c r="G126" s="136">
        <f t="shared" si="3"/>
        <v>2930.3411278103117</v>
      </c>
      <c r="H126" s="187">
        <v>24271</v>
      </c>
      <c r="I126" s="89">
        <v>24419</v>
      </c>
      <c r="J126" s="89">
        <v>2015</v>
      </c>
      <c r="K126" s="89">
        <v>1940</v>
      </c>
      <c r="L126" s="89">
        <v>1890</v>
      </c>
      <c r="M126" s="89">
        <v>1855</v>
      </c>
      <c r="N126" s="89">
        <v>71556000</v>
      </c>
      <c r="O126" s="113" t="s">
        <v>223</v>
      </c>
      <c r="P126" s="256">
        <v>24271</v>
      </c>
      <c r="Q126" s="258">
        <v>24.3</v>
      </c>
      <c r="R126" s="258">
        <v>24.3</v>
      </c>
      <c r="S126" s="258">
        <v>24.3</v>
      </c>
      <c r="T126" s="258">
        <v>24.3</v>
      </c>
      <c r="U126" s="258">
        <v>24.3</v>
      </c>
      <c r="V126" s="258">
        <v>24.3</v>
      </c>
      <c r="W126" s="258">
        <v>24.3</v>
      </c>
      <c r="X126" s="258">
        <v>24.2</v>
      </c>
      <c r="Y126" s="258">
        <v>24.3</v>
      </c>
      <c r="Z126" s="258">
        <v>24.3</v>
      </c>
    </row>
    <row r="127" spans="1:26" ht="13.15" x14ac:dyDescent="0.25">
      <c r="A127" t="s">
        <v>690</v>
      </c>
      <c r="C127" s="139" t="s">
        <v>461</v>
      </c>
      <c r="D127" s="95">
        <f t="shared" si="4"/>
        <v>-2.926583734809808E-3</v>
      </c>
      <c r="E127" t="s">
        <v>578</v>
      </c>
      <c r="F127" s="95">
        <f t="shared" si="5"/>
        <v>2.357207615593835E-2</v>
      </c>
      <c r="G127" s="136">
        <f t="shared" si="3"/>
        <v>-549.81278907569197</v>
      </c>
      <c r="H127" s="187">
        <v>13907</v>
      </c>
      <c r="I127" s="89">
        <v>13621</v>
      </c>
      <c r="J127" s="89">
        <v>1445</v>
      </c>
      <c r="K127" s="89">
        <v>1395</v>
      </c>
      <c r="L127" s="89">
        <v>1360</v>
      </c>
      <c r="M127" s="89">
        <v>1315</v>
      </c>
      <c r="N127" s="89">
        <v>-7489000</v>
      </c>
      <c r="O127" s="113" t="s">
        <v>461</v>
      </c>
      <c r="P127" s="256">
        <v>13907</v>
      </c>
      <c r="Q127" s="258">
        <v>13.6</v>
      </c>
      <c r="R127" s="258">
        <v>13.7</v>
      </c>
      <c r="S127" s="258">
        <v>13.7</v>
      </c>
      <c r="T127" s="258">
        <v>13.6</v>
      </c>
      <c r="U127" s="258">
        <v>13.6</v>
      </c>
      <c r="V127" s="258">
        <v>13.6</v>
      </c>
      <c r="W127" s="258">
        <v>13.6</v>
      </c>
      <c r="X127" s="258">
        <v>13.5</v>
      </c>
      <c r="Y127" s="258">
        <v>13.5</v>
      </c>
      <c r="Z127" s="258">
        <v>13.5</v>
      </c>
    </row>
    <row r="128" spans="1:26" ht="13.15" x14ac:dyDescent="0.25">
      <c r="A128" t="s">
        <v>691</v>
      </c>
      <c r="C128" s="139" t="s">
        <v>333</v>
      </c>
      <c r="D128" s="95">
        <f t="shared" si="4"/>
        <v>1.0717560320032153E-2</v>
      </c>
      <c r="E128" t="s">
        <v>544</v>
      </c>
      <c r="F128" s="95">
        <f t="shared" si="5"/>
        <v>3.7409700722394218E-2</v>
      </c>
      <c r="G128" s="136">
        <f t="shared" si="3"/>
        <v>3532.960518515591</v>
      </c>
      <c r="H128" s="187">
        <v>159234</v>
      </c>
      <c r="I128" s="89">
        <v>151818</v>
      </c>
      <c r="J128" s="89">
        <v>15750</v>
      </c>
      <c r="K128" s="89">
        <v>14830</v>
      </c>
      <c r="L128" s="89">
        <v>13985</v>
      </c>
      <c r="M128" s="89">
        <v>13575</v>
      </c>
      <c r="N128" s="89">
        <v>536367000</v>
      </c>
      <c r="O128" s="113" t="s">
        <v>333</v>
      </c>
      <c r="P128" s="256">
        <v>159234</v>
      </c>
      <c r="Q128" s="258">
        <v>159.4</v>
      </c>
      <c r="R128" s="258">
        <v>161.1</v>
      </c>
      <c r="S128" s="258">
        <v>162.69999999999999</v>
      </c>
      <c r="T128" s="258">
        <v>164.8</v>
      </c>
      <c r="U128" s="258">
        <v>167.5</v>
      </c>
      <c r="V128" s="258">
        <v>170</v>
      </c>
      <c r="W128" s="258">
        <v>172.1</v>
      </c>
      <c r="X128" s="258">
        <v>173.9</v>
      </c>
      <c r="Y128" s="258">
        <v>175</v>
      </c>
      <c r="Z128" s="258">
        <v>176.3</v>
      </c>
    </row>
    <row r="129" spans="1:29" ht="13.15" x14ac:dyDescent="0.25">
      <c r="A129" t="s">
        <v>691</v>
      </c>
      <c r="C129" s="139" t="s">
        <v>539</v>
      </c>
      <c r="D129" s="95">
        <f t="shared" si="4"/>
        <v>9.4246381927285561E-3</v>
      </c>
      <c r="E129" t="s">
        <v>578</v>
      </c>
      <c r="F129" s="95">
        <f t="shared" si="5"/>
        <v>4.4117647058823532E-2</v>
      </c>
      <c r="G129" s="136">
        <f t="shared" si="3"/>
        <v>-78.735842162952139</v>
      </c>
      <c r="H129" s="187">
        <v>5666</v>
      </c>
      <c r="I129" s="89">
        <v>5474</v>
      </c>
      <c r="J129" s="89">
        <v>645</v>
      </c>
      <c r="K129" s="89">
        <v>625</v>
      </c>
      <c r="L129" s="89">
        <v>570</v>
      </c>
      <c r="M129" s="89">
        <v>540</v>
      </c>
      <c r="N129" s="89">
        <v>-431000</v>
      </c>
      <c r="O129" s="113" t="s">
        <v>539</v>
      </c>
      <c r="P129" s="256">
        <v>5666</v>
      </c>
      <c r="Q129" s="258">
        <v>5.7</v>
      </c>
      <c r="R129" s="258">
        <v>5.8</v>
      </c>
      <c r="S129" s="258">
        <v>5.8</v>
      </c>
      <c r="T129" s="258">
        <v>5.9</v>
      </c>
      <c r="U129" s="258">
        <v>5.9</v>
      </c>
      <c r="V129" s="258">
        <v>6</v>
      </c>
      <c r="W129" s="258">
        <v>6</v>
      </c>
      <c r="X129" s="258">
        <v>6.1</v>
      </c>
      <c r="Y129" s="258">
        <v>6.1</v>
      </c>
      <c r="Z129" s="258">
        <v>6.2</v>
      </c>
    </row>
    <row r="130" spans="1:29" ht="13.15" x14ac:dyDescent="0.25">
      <c r="A130" t="s">
        <v>691</v>
      </c>
      <c r="C130" s="139" t="s">
        <v>334</v>
      </c>
      <c r="D130" s="95">
        <f t="shared" si="4"/>
        <v>9.3233051805273002E-3</v>
      </c>
      <c r="E130" t="s">
        <v>578</v>
      </c>
      <c r="F130" s="95">
        <f t="shared" si="5"/>
        <v>2.097716409984068E-2</v>
      </c>
      <c r="G130" s="136">
        <f t="shared" ref="G130:G193" si="6">N130/I130</f>
        <v>1694.587440862008</v>
      </c>
      <c r="H130" s="187">
        <v>145989</v>
      </c>
      <c r="I130" s="89">
        <v>143943</v>
      </c>
      <c r="J130" s="89">
        <v>14770</v>
      </c>
      <c r="K130" s="89">
        <v>14310</v>
      </c>
      <c r="L130" s="89">
        <v>13825</v>
      </c>
      <c r="M130" s="89">
        <v>13585</v>
      </c>
      <c r="N130" s="89">
        <v>243924000</v>
      </c>
      <c r="O130" s="113" t="s">
        <v>334</v>
      </c>
      <c r="P130" s="256">
        <v>145989</v>
      </c>
      <c r="Q130" s="258">
        <v>146.1</v>
      </c>
      <c r="R130" s="258">
        <v>147.80000000000001</v>
      </c>
      <c r="S130" s="258">
        <v>149.30000000000001</v>
      </c>
      <c r="T130" s="258">
        <v>150.80000000000001</v>
      </c>
      <c r="U130" s="258">
        <v>152.4</v>
      </c>
      <c r="V130" s="258">
        <v>154</v>
      </c>
      <c r="W130" s="258">
        <v>155.5</v>
      </c>
      <c r="X130" s="258">
        <v>156.9</v>
      </c>
      <c r="Y130" s="258">
        <v>158.30000000000001</v>
      </c>
      <c r="Z130" s="258">
        <v>159.6</v>
      </c>
    </row>
    <row r="131" spans="1:29" ht="13.15" x14ac:dyDescent="0.25">
      <c r="A131" t="s">
        <v>690</v>
      </c>
      <c r="C131" s="139" t="s">
        <v>462</v>
      </c>
      <c r="D131" s="95">
        <f t="shared" ref="D131:D194" si="7">(SUM(Z131*1000,-P131)/10)/P131</f>
        <v>-6.1187924681383322E-4</v>
      </c>
      <c r="E131" t="s">
        <v>173</v>
      </c>
      <c r="F131" s="95">
        <f t="shared" si="5"/>
        <v>1.3759213759213759E-2</v>
      </c>
      <c r="G131" s="136">
        <f t="shared" si="6"/>
        <v>1582.4381926683716</v>
      </c>
      <c r="H131" s="187">
        <v>29581</v>
      </c>
      <c r="I131" s="89">
        <v>29325</v>
      </c>
      <c r="J131" s="89">
        <v>2615</v>
      </c>
      <c r="K131" s="89">
        <v>2585</v>
      </c>
      <c r="L131" s="89">
        <v>2500</v>
      </c>
      <c r="M131" s="89">
        <v>2475</v>
      </c>
      <c r="N131" s="89">
        <v>46405000</v>
      </c>
      <c r="O131" s="113" t="s">
        <v>462</v>
      </c>
      <c r="P131" s="256">
        <v>29581</v>
      </c>
      <c r="Q131" s="258">
        <v>29.5</v>
      </c>
      <c r="R131" s="258">
        <v>29.6</v>
      </c>
      <c r="S131" s="258">
        <v>29.6</v>
      </c>
      <c r="T131" s="258">
        <v>29.6</v>
      </c>
      <c r="U131" s="258">
        <v>29.6</v>
      </c>
      <c r="V131" s="258">
        <v>29.6</v>
      </c>
      <c r="W131" s="258">
        <v>29.6</v>
      </c>
      <c r="X131" s="258">
        <v>29.6</v>
      </c>
      <c r="Y131" s="258">
        <v>29.5</v>
      </c>
      <c r="Z131" s="258">
        <v>29.4</v>
      </c>
    </row>
    <row r="132" spans="1:29" ht="13.15" x14ac:dyDescent="0.25">
      <c r="A132" t="s">
        <v>695</v>
      </c>
      <c r="C132" s="139" t="s">
        <v>224</v>
      </c>
      <c r="D132" s="95">
        <f t="shared" si="7"/>
        <v>-1.9868429795999731E-3</v>
      </c>
      <c r="E132" t="s">
        <v>173</v>
      </c>
      <c r="F132" s="95">
        <f t="shared" si="5"/>
        <v>1.6709147550269046E-2</v>
      </c>
      <c r="G132" s="136">
        <f t="shared" si="6"/>
        <v>2357.7149587750296</v>
      </c>
      <c r="H132" s="187">
        <v>60196</v>
      </c>
      <c r="I132" s="89">
        <v>59430</v>
      </c>
      <c r="J132" s="89">
        <v>4590</v>
      </c>
      <c r="K132" s="89">
        <v>4455</v>
      </c>
      <c r="L132" s="89">
        <v>4315</v>
      </c>
      <c r="M132" s="89">
        <v>4295</v>
      </c>
      <c r="N132" s="89">
        <v>140119000</v>
      </c>
      <c r="O132" s="113" t="s">
        <v>224</v>
      </c>
      <c r="P132" s="256">
        <v>60196</v>
      </c>
      <c r="Q132" s="258">
        <v>59.5</v>
      </c>
      <c r="R132" s="258">
        <v>59.5</v>
      </c>
      <c r="S132" s="258">
        <v>59.4</v>
      </c>
      <c r="T132" s="258">
        <v>59.3</v>
      </c>
      <c r="U132" s="258">
        <v>59.3</v>
      </c>
      <c r="V132" s="258">
        <v>59.2</v>
      </c>
      <c r="W132" s="258">
        <v>59.1</v>
      </c>
      <c r="X132" s="258">
        <v>59.1</v>
      </c>
      <c r="Y132" s="258">
        <v>59</v>
      </c>
      <c r="Z132" s="258">
        <v>59</v>
      </c>
    </row>
    <row r="133" spans="1:29" ht="13.15" x14ac:dyDescent="0.25">
      <c r="A133" t="s">
        <v>692</v>
      </c>
      <c r="C133" s="139" t="s">
        <v>260</v>
      </c>
      <c r="D133" s="95">
        <f t="shared" si="7"/>
        <v>9.0599249320505638E-5</v>
      </c>
      <c r="E133" t="s">
        <v>544</v>
      </c>
      <c r="F133" s="95">
        <f t="shared" ref="F133:F196" si="8">SUM(J133,-M133)/SUM(J133,K133,L133,M133)</f>
        <v>2.451518477863154E-2</v>
      </c>
      <c r="G133" s="136">
        <f t="shared" si="6"/>
        <v>525.43529463558525</v>
      </c>
      <c r="H133" s="187">
        <v>46358</v>
      </c>
      <c r="I133" s="89">
        <v>45429</v>
      </c>
      <c r="J133" s="89">
        <v>3580</v>
      </c>
      <c r="K133" s="89">
        <v>3510</v>
      </c>
      <c r="L133" s="89">
        <v>3330</v>
      </c>
      <c r="M133" s="89">
        <v>3245</v>
      </c>
      <c r="N133" s="89">
        <v>23870000</v>
      </c>
      <c r="O133" s="113" t="s">
        <v>260</v>
      </c>
      <c r="P133" s="256">
        <v>46358</v>
      </c>
      <c r="Q133" s="258">
        <v>45.8</v>
      </c>
      <c r="R133" s="258">
        <v>45.9</v>
      </c>
      <c r="S133" s="258">
        <v>45.9</v>
      </c>
      <c r="T133" s="258">
        <v>46</v>
      </c>
      <c r="U133" s="258">
        <v>46</v>
      </c>
      <c r="V133" s="258">
        <v>46</v>
      </c>
      <c r="W133" s="258">
        <v>46.1</v>
      </c>
      <c r="X133" s="258">
        <v>46.1</v>
      </c>
      <c r="Y133" s="258">
        <v>46.2</v>
      </c>
      <c r="Z133" s="258">
        <v>46.4</v>
      </c>
    </row>
    <row r="134" spans="1:29" s="115" customFormat="1" ht="13.15" x14ac:dyDescent="0.25">
      <c r="A134" s="115" t="s">
        <v>694</v>
      </c>
      <c r="C134" s="139" t="s">
        <v>379</v>
      </c>
      <c r="D134" s="95">
        <f t="shared" si="7"/>
        <v>1.9030560841822456E-4</v>
      </c>
      <c r="E134" t="s">
        <v>578</v>
      </c>
      <c r="F134" s="95">
        <f t="shared" si="8"/>
        <v>2.6468155500413565E-2</v>
      </c>
      <c r="G134" s="136">
        <f t="shared" si="6"/>
        <v>2474.0002265775461</v>
      </c>
      <c r="H134" s="187">
        <v>17866</v>
      </c>
      <c r="I134" s="115">
        <v>17654</v>
      </c>
      <c r="J134" s="115">
        <v>1605</v>
      </c>
      <c r="K134" s="114">
        <v>1525</v>
      </c>
      <c r="L134" s="89">
        <v>1470</v>
      </c>
      <c r="M134" s="114">
        <v>1445</v>
      </c>
      <c r="N134" s="114">
        <v>43676000</v>
      </c>
      <c r="O134" s="116" t="s">
        <v>379</v>
      </c>
      <c r="P134" s="256">
        <v>17866</v>
      </c>
      <c r="Q134" s="258">
        <v>17.8</v>
      </c>
      <c r="R134" s="258">
        <v>17.899999999999999</v>
      </c>
      <c r="S134" s="258">
        <v>17.899999999999999</v>
      </c>
      <c r="T134" s="258">
        <v>17.899999999999999</v>
      </c>
      <c r="U134" s="258">
        <v>17.899999999999999</v>
      </c>
      <c r="V134" s="258">
        <v>17.899999999999999</v>
      </c>
      <c r="W134" s="258">
        <v>17.899999999999999</v>
      </c>
      <c r="X134" s="258">
        <v>17.899999999999999</v>
      </c>
      <c r="Y134" s="258">
        <v>17.899999999999999</v>
      </c>
      <c r="Z134" s="258">
        <v>17.899999999999999</v>
      </c>
      <c r="AB134"/>
      <c r="AC134"/>
    </row>
    <row r="135" spans="1:29" ht="13.15" x14ac:dyDescent="0.25">
      <c r="A135" t="s">
        <v>698</v>
      </c>
      <c r="C135" s="139" t="s">
        <v>182</v>
      </c>
      <c r="D135" s="95">
        <f t="shared" si="7"/>
        <v>5.7147234564118281E-3</v>
      </c>
      <c r="E135" t="s">
        <v>578</v>
      </c>
      <c r="F135" s="95">
        <f t="shared" si="8"/>
        <v>3.0629139072847682E-2</v>
      </c>
      <c r="G135" s="136">
        <f t="shared" si="6"/>
        <v>4001.1919596900907</v>
      </c>
      <c r="H135" s="187">
        <v>19581</v>
      </c>
      <c r="I135" s="89">
        <v>18457</v>
      </c>
      <c r="J135" s="89">
        <v>1605</v>
      </c>
      <c r="K135" s="89">
        <v>1545</v>
      </c>
      <c r="L135" s="89">
        <v>1470</v>
      </c>
      <c r="M135" s="89">
        <v>1420</v>
      </c>
      <c r="N135" s="89">
        <v>73850000</v>
      </c>
      <c r="O135" s="113" t="s">
        <v>182</v>
      </c>
      <c r="P135" s="256">
        <v>19581</v>
      </c>
      <c r="Q135" s="258">
        <v>19.3</v>
      </c>
      <c r="R135" s="258">
        <v>19.7</v>
      </c>
      <c r="S135" s="258">
        <v>19.899999999999999</v>
      </c>
      <c r="T135" s="258">
        <v>20.100000000000001</v>
      </c>
      <c r="U135" s="258">
        <v>20.2</v>
      </c>
      <c r="V135" s="258">
        <v>20.399999999999999</v>
      </c>
      <c r="W135" s="258">
        <v>20.5</v>
      </c>
      <c r="X135" s="258">
        <v>20.5</v>
      </c>
      <c r="Y135" s="258">
        <v>20.6</v>
      </c>
      <c r="Z135" s="258">
        <v>20.7</v>
      </c>
      <c r="AB135" s="115"/>
      <c r="AC135" s="115"/>
    </row>
    <row r="136" spans="1:29" s="115" customFormat="1" ht="13.15" x14ac:dyDescent="0.25">
      <c r="A136" s="115" t="s">
        <v>693</v>
      </c>
      <c r="C136" s="139" t="s">
        <v>203</v>
      </c>
      <c r="D136" s="95">
        <f t="shared" si="7"/>
        <v>-4.034291477559254E-4</v>
      </c>
      <c r="E136" t="s">
        <v>544</v>
      </c>
      <c r="F136" s="95">
        <f t="shared" si="8"/>
        <v>2.3474178403755867E-2</v>
      </c>
      <c r="G136" s="136">
        <f t="shared" si="6"/>
        <v>441.74450896238324</v>
      </c>
      <c r="H136" s="187">
        <v>15864</v>
      </c>
      <c r="I136" s="115">
        <v>15844</v>
      </c>
      <c r="J136" s="115">
        <v>1415</v>
      </c>
      <c r="K136" s="114">
        <v>1335</v>
      </c>
      <c r="L136" s="89">
        <v>1285</v>
      </c>
      <c r="M136" s="114">
        <v>1290</v>
      </c>
      <c r="N136" s="114">
        <v>6999000</v>
      </c>
      <c r="O136" s="116" t="s">
        <v>203</v>
      </c>
      <c r="P136" s="256">
        <v>15864</v>
      </c>
      <c r="Q136" s="258">
        <v>15.9</v>
      </c>
      <c r="R136" s="258">
        <v>15.9</v>
      </c>
      <c r="S136" s="258">
        <v>15.9</v>
      </c>
      <c r="T136" s="258">
        <v>16</v>
      </c>
      <c r="U136" s="258">
        <v>16</v>
      </c>
      <c r="V136" s="258">
        <v>15.9</v>
      </c>
      <c r="W136" s="258">
        <v>15.9</v>
      </c>
      <c r="X136" s="258">
        <v>15.9</v>
      </c>
      <c r="Y136" s="258">
        <v>15.8</v>
      </c>
      <c r="Z136" s="258">
        <v>15.8</v>
      </c>
      <c r="AB136"/>
      <c r="AC136"/>
    </row>
    <row r="137" spans="1:29" ht="13.15" x14ac:dyDescent="0.25">
      <c r="A137" t="s">
        <v>695</v>
      </c>
      <c r="C137" s="139" t="s">
        <v>261</v>
      </c>
      <c r="D137" s="95">
        <f t="shared" si="7"/>
        <v>2.1934197407776669E-3</v>
      </c>
      <c r="E137" t="s">
        <v>578</v>
      </c>
      <c r="F137" s="95">
        <f t="shared" si="8"/>
        <v>2.023121387283237E-2</v>
      </c>
      <c r="G137" s="136">
        <f t="shared" si="6"/>
        <v>1309.6145700974164</v>
      </c>
      <c r="H137" s="187">
        <v>12036</v>
      </c>
      <c r="I137" s="89">
        <v>11805</v>
      </c>
      <c r="J137" s="89">
        <v>905</v>
      </c>
      <c r="K137" s="89">
        <v>865</v>
      </c>
      <c r="L137" s="89">
        <v>855</v>
      </c>
      <c r="M137" s="89">
        <v>835</v>
      </c>
      <c r="N137" s="89">
        <v>15460000</v>
      </c>
      <c r="O137" s="113" t="s">
        <v>261</v>
      </c>
      <c r="P137" s="257">
        <v>12036</v>
      </c>
      <c r="Q137" s="258">
        <v>12</v>
      </c>
      <c r="R137" s="258">
        <v>12</v>
      </c>
      <c r="S137" s="258">
        <v>12</v>
      </c>
      <c r="T137" s="258">
        <v>12</v>
      </c>
      <c r="U137" s="258">
        <v>12</v>
      </c>
      <c r="V137" s="258">
        <v>12.1</v>
      </c>
      <c r="W137" s="258">
        <v>12.1</v>
      </c>
      <c r="X137" s="258">
        <v>12.2</v>
      </c>
      <c r="Y137" s="258">
        <v>12.2</v>
      </c>
      <c r="Z137" s="258">
        <v>12.3</v>
      </c>
      <c r="AB137" s="115"/>
      <c r="AC137" s="115"/>
    </row>
    <row r="138" spans="1:29" ht="13.15" x14ac:dyDescent="0.25">
      <c r="A138" t="s">
        <v>691</v>
      </c>
      <c r="C138" s="139" t="s">
        <v>335</v>
      </c>
      <c r="D138" s="95">
        <f t="shared" si="7"/>
        <v>5.8461617012585843E-4</v>
      </c>
      <c r="E138" t="s">
        <v>173</v>
      </c>
      <c r="F138" s="95">
        <f t="shared" si="8"/>
        <v>2.4146981627296588E-2</v>
      </c>
      <c r="G138" s="136">
        <f t="shared" si="6"/>
        <v>754.91494346541708</v>
      </c>
      <c r="H138" s="187">
        <v>39171</v>
      </c>
      <c r="I138" s="89">
        <v>39268</v>
      </c>
      <c r="J138" s="89">
        <v>2495</v>
      </c>
      <c r="K138" s="89">
        <v>2430</v>
      </c>
      <c r="L138" s="89">
        <v>2335</v>
      </c>
      <c r="M138" s="89">
        <v>2265</v>
      </c>
      <c r="N138" s="89">
        <v>29644000</v>
      </c>
      <c r="O138" s="113" t="s">
        <v>335</v>
      </c>
      <c r="P138" s="256">
        <v>39171</v>
      </c>
      <c r="Q138" s="258">
        <v>39.200000000000003</v>
      </c>
      <c r="R138" s="258">
        <v>39.200000000000003</v>
      </c>
      <c r="S138" s="258">
        <v>39.200000000000003</v>
      </c>
      <c r="T138" s="258">
        <v>39.200000000000003</v>
      </c>
      <c r="U138" s="258">
        <v>39.200000000000003</v>
      </c>
      <c r="V138" s="258">
        <v>39.200000000000003</v>
      </c>
      <c r="W138" s="258">
        <v>39.200000000000003</v>
      </c>
      <c r="X138" s="258">
        <v>39.200000000000003</v>
      </c>
      <c r="Y138" s="258">
        <v>39.299999999999997</v>
      </c>
      <c r="Z138" s="258">
        <v>39.4</v>
      </c>
    </row>
    <row r="139" spans="1:29" ht="13.15" x14ac:dyDescent="0.25">
      <c r="A139" t="s">
        <v>691</v>
      </c>
      <c r="C139" s="139" t="s">
        <v>336</v>
      </c>
      <c r="D139" s="95">
        <f t="shared" si="7"/>
        <v>2.1545319465081725E-3</v>
      </c>
      <c r="E139" t="s">
        <v>578</v>
      </c>
      <c r="F139" s="95">
        <f t="shared" si="8"/>
        <v>2.1739130434782608E-2</v>
      </c>
      <c r="G139" s="136">
        <f t="shared" si="6"/>
        <v>1426.3013489825471</v>
      </c>
      <c r="H139" s="187">
        <v>26920</v>
      </c>
      <c r="I139" s="89">
        <v>26242</v>
      </c>
      <c r="J139" s="89">
        <v>2765</v>
      </c>
      <c r="K139" s="89">
        <v>2690</v>
      </c>
      <c r="L139" s="89">
        <v>2590</v>
      </c>
      <c r="M139" s="89">
        <v>2535</v>
      </c>
      <c r="N139" s="89">
        <v>37429000</v>
      </c>
      <c r="O139" s="113" t="s">
        <v>336</v>
      </c>
      <c r="P139" s="257">
        <v>26920</v>
      </c>
      <c r="Q139" s="258">
        <v>27</v>
      </c>
      <c r="R139" s="258">
        <v>27.3</v>
      </c>
      <c r="S139" s="258">
        <v>27.5</v>
      </c>
      <c r="T139" s="258">
        <v>27.6</v>
      </c>
      <c r="U139" s="258">
        <v>27.7</v>
      </c>
      <c r="V139" s="258">
        <v>27.5</v>
      </c>
      <c r="W139" s="258">
        <v>27.3</v>
      </c>
      <c r="X139" s="258">
        <v>27.3</v>
      </c>
      <c r="Y139" s="258">
        <v>27.4</v>
      </c>
      <c r="Z139" s="258">
        <v>27.5</v>
      </c>
    </row>
    <row r="140" spans="1:29" ht="13.15" x14ac:dyDescent="0.25">
      <c r="A140" t="s">
        <v>692</v>
      </c>
      <c r="C140" s="139" t="s">
        <v>262</v>
      </c>
      <c r="D140" s="95">
        <f t="shared" si="7"/>
        <v>5.0476754834886603E-3</v>
      </c>
      <c r="E140" t="s">
        <v>578</v>
      </c>
      <c r="F140" s="95">
        <f t="shared" si="8"/>
        <v>2.7695351137487636E-2</v>
      </c>
      <c r="G140" s="136">
        <f t="shared" si="6"/>
        <v>941.0217057662793</v>
      </c>
      <c r="H140" s="187">
        <v>18563</v>
      </c>
      <c r="I140" s="89">
        <v>18244</v>
      </c>
      <c r="J140" s="89">
        <v>1340</v>
      </c>
      <c r="K140" s="89">
        <v>1285</v>
      </c>
      <c r="L140" s="89">
        <v>1230</v>
      </c>
      <c r="M140" s="89">
        <v>1200</v>
      </c>
      <c r="N140" s="89">
        <v>17168000</v>
      </c>
      <c r="O140" s="113" t="s">
        <v>262</v>
      </c>
      <c r="P140" s="256">
        <v>18563</v>
      </c>
      <c r="Q140" s="258">
        <v>18.8</v>
      </c>
      <c r="R140" s="258">
        <v>18.899999999999999</v>
      </c>
      <c r="S140" s="258">
        <v>18.899999999999999</v>
      </c>
      <c r="T140" s="258">
        <v>19</v>
      </c>
      <c r="U140" s="258">
        <v>19.100000000000001</v>
      </c>
      <c r="V140" s="258">
        <v>19.2</v>
      </c>
      <c r="W140" s="258">
        <v>19.2</v>
      </c>
      <c r="X140" s="258">
        <v>19.3</v>
      </c>
      <c r="Y140" s="258">
        <v>19.399999999999999</v>
      </c>
      <c r="Z140" s="258">
        <v>19.5</v>
      </c>
    </row>
    <row r="141" spans="1:29" ht="13.15" x14ac:dyDescent="0.25">
      <c r="A141" t="s">
        <v>693</v>
      </c>
      <c r="C141" s="139" t="s">
        <v>204</v>
      </c>
      <c r="D141" s="95">
        <f t="shared" si="7"/>
        <v>4.5795900480070121E-3</v>
      </c>
      <c r="E141" t="s">
        <v>544</v>
      </c>
      <c r="F141" s="95">
        <f t="shared" si="8"/>
        <v>3.4419738044471522E-2</v>
      </c>
      <c r="G141" s="136">
        <f t="shared" si="6"/>
        <v>3998.6886747288886</v>
      </c>
      <c r="H141" s="187">
        <v>50201</v>
      </c>
      <c r="I141" s="89">
        <v>48043</v>
      </c>
      <c r="J141" s="89">
        <v>4400</v>
      </c>
      <c r="K141" s="89">
        <v>4220</v>
      </c>
      <c r="L141" s="89">
        <v>3960</v>
      </c>
      <c r="M141" s="89">
        <v>3835</v>
      </c>
      <c r="N141" s="89">
        <v>192109000</v>
      </c>
      <c r="O141" s="113" t="s">
        <v>204</v>
      </c>
      <c r="P141" s="256">
        <v>50201</v>
      </c>
      <c r="Q141" s="258">
        <v>50.6</v>
      </c>
      <c r="R141" s="258">
        <v>50.9</v>
      </c>
      <c r="S141" s="258">
        <v>51.4</v>
      </c>
      <c r="T141" s="258">
        <v>51.7</v>
      </c>
      <c r="U141" s="258">
        <v>51.8</v>
      </c>
      <c r="V141" s="258">
        <v>52</v>
      </c>
      <c r="W141" s="258">
        <v>52.1</v>
      </c>
      <c r="X141" s="258">
        <v>52.3</v>
      </c>
      <c r="Y141" s="258">
        <v>52.4</v>
      </c>
      <c r="Z141" s="258">
        <v>52.5</v>
      </c>
    </row>
    <row r="142" spans="1:29" ht="13.15" x14ac:dyDescent="0.25">
      <c r="A142" t="s">
        <v>691</v>
      </c>
      <c r="C142" s="139" t="s">
        <v>337</v>
      </c>
      <c r="D142" s="95">
        <f t="shared" si="7"/>
        <v>4.1192638840854071E-3</v>
      </c>
      <c r="E142" t="s">
        <v>173</v>
      </c>
      <c r="F142" s="95">
        <f t="shared" si="8"/>
        <v>2.1312584573748308E-2</v>
      </c>
      <c r="G142" s="136">
        <f t="shared" si="6"/>
        <v>2248.0041156183906</v>
      </c>
      <c r="H142" s="187">
        <v>54937</v>
      </c>
      <c r="I142" s="89">
        <v>52483</v>
      </c>
      <c r="J142" s="89">
        <v>3880</v>
      </c>
      <c r="K142" s="89">
        <v>3730</v>
      </c>
      <c r="L142" s="89">
        <v>3605</v>
      </c>
      <c r="M142" s="89">
        <v>3565</v>
      </c>
      <c r="N142" s="89">
        <v>117982000</v>
      </c>
      <c r="O142" s="113" t="s">
        <v>337</v>
      </c>
      <c r="P142" s="256">
        <v>54937</v>
      </c>
      <c r="Q142" s="258">
        <v>54.3</v>
      </c>
      <c r="R142" s="258">
        <v>54.7</v>
      </c>
      <c r="S142" s="258">
        <v>54.9</v>
      </c>
      <c r="T142" s="258">
        <v>55.2</v>
      </c>
      <c r="U142" s="258">
        <v>55.5</v>
      </c>
      <c r="V142" s="258">
        <v>56</v>
      </c>
      <c r="W142" s="258">
        <v>56.5</v>
      </c>
      <c r="X142" s="258">
        <v>56.7</v>
      </c>
      <c r="Y142" s="258">
        <v>57</v>
      </c>
      <c r="Z142" s="258">
        <v>57.2</v>
      </c>
    </row>
    <row r="143" spans="1:29" ht="13.15" x14ac:dyDescent="0.25">
      <c r="A143" t="s">
        <v>699</v>
      </c>
      <c r="C143" s="139" t="s">
        <v>504</v>
      </c>
      <c r="D143" s="95">
        <f t="shared" si="7"/>
        <v>-1.9517900965574182E-3</v>
      </c>
      <c r="E143" t="s">
        <v>544</v>
      </c>
      <c r="F143" s="95">
        <f t="shared" si="8"/>
        <v>8.0000000000000002E-3</v>
      </c>
      <c r="G143" s="136">
        <f t="shared" si="6"/>
        <v>1202.7275995326684</v>
      </c>
      <c r="H143" s="187">
        <v>87202</v>
      </c>
      <c r="I143" s="89">
        <v>89016</v>
      </c>
      <c r="J143" s="89">
        <v>5120</v>
      </c>
      <c r="K143" s="89">
        <v>5010</v>
      </c>
      <c r="L143" s="89">
        <v>4910</v>
      </c>
      <c r="M143" s="89">
        <v>4960</v>
      </c>
      <c r="N143" s="89">
        <v>107062000</v>
      </c>
      <c r="O143" s="113" t="s">
        <v>504</v>
      </c>
      <c r="P143" s="256">
        <v>87202</v>
      </c>
      <c r="Q143" s="258">
        <v>87.1</v>
      </c>
      <c r="R143" s="258">
        <v>87</v>
      </c>
      <c r="S143" s="258">
        <v>86.9</v>
      </c>
      <c r="T143" s="258">
        <v>86.7</v>
      </c>
      <c r="U143" s="258">
        <v>86.4</v>
      </c>
      <c r="V143" s="258">
        <v>86.2</v>
      </c>
      <c r="W143" s="258">
        <v>86</v>
      </c>
      <c r="X143" s="258">
        <v>85.8</v>
      </c>
      <c r="Y143" s="258">
        <v>85.6</v>
      </c>
      <c r="Z143" s="258">
        <v>85.5</v>
      </c>
    </row>
    <row r="144" spans="1:29" ht="13.15" x14ac:dyDescent="0.25">
      <c r="A144" t="s">
        <v>690</v>
      </c>
      <c r="C144" s="139" t="s">
        <v>463</v>
      </c>
      <c r="D144" s="95">
        <f t="shared" si="7"/>
        <v>8.8270858524788377E-3</v>
      </c>
      <c r="E144" t="s">
        <v>578</v>
      </c>
      <c r="F144" s="95">
        <f t="shared" si="8"/>
        <v>1.751592356687898E-2</v>
      </c>
      <c r="G144" s="136">
        <f t="shared" si="6"/>
        <v>722.57686294945279</v>
      </c>
      <c r="H144" s="187">
        <v>15713</v>
      </c>
      <c r="I144" s="89">
        <v>15352</v>
      </c>
      <c r="J144" s="89">
        <v>1620</v>
      </c>
      <c r="K144" s="89">
        <v>1590</v>
      </c>
      <c r="L144" s="89">
        <v>1560</v>
      </c>
      <c r="M144" s="89">
        <v>1510</v>
      </c>
      <c r="N144" s="89">
        <v>11093000</v>
      </c>
      <c r="O144" s="113" t="s">
        <v>463</v>
      </c>
      <c r="P144" s="256">
        <v>15713</v>
      </c>
      <c r="Q144" s="258">
        <v>15.9</v>
      </c>
      <c r="R144" s="258">
        <v>16.100000000000001</v>
      </c>
      <c r="S144" s="258">
        <v>16.2</v>
      </c>
      <c r="T144" s="258">
        <v>16.399999999999999</v>
      </c>
      <c r="U144" s="258">
        <v>16.5</v>
      </c>
      <c r="V144" s="258">
        <v>16.600000000000001</v>
      </c>
      <c r="W144" s="258">
        <v>16.7</v>
      </c>
      <c r="X144" s="258">
        <v>16.8</v>
      </c>
      <c r="Y144" s="258">
        <v>17</v>
      </c>
      <c r="Z144" s="258">
        <v>17.100000000000001</v>
      </c>
    </row>
    <row r="145" spans="1:26" ht="13.15" x14ac:dyDescent="0.25">
      <c r="A145" t="s">
        <v>691</v>
      </c>
      <c r="C145" s="139" t="s">
        <v>338</v>
      </c>
      <c r="D145" s="95">
        <f t="shared" si="7"/>
        <v>2.4025206774320597E-3</v>
      </c>
      <c r="E145" t="s">
        <v>578</v>
      </c>
      <c r="F145" s="95">
        <f t="shared" si="8"/>
        <v>2.8885832187070151E-2</v>
      </c>
      <c r="G145" s="136">
        <f t="shared" si="6"/>
        <v>2277.2626931567329</v>
      </c>
      <c r="H145" s="187">
        <v>22851</v>
      </c>
      <c r="I145" s="89">
        <v>22650</v>
      </c>
      <c r="J145" s="89">
        <v>1925</v>
      </c>
      <c r="K145" s="89">
        <v>1865</v>
      </c>
      <c r="L145" s="89">
        <v>1765</v>
      </c>
      <c r="M145" s="89">
        <v>1715</v>
      </c>
      <c r="N145" s="89">
        <v>51580000</v>
      </c>
      <c r="O145" s="113" t="s">
        <v>338</v>
      </c>
      <c r="P145" s="256">
        <v>22851</v>
      </c>
      <c r="Q145" s="258">
        <v>22.8</v>
      </c>
      <c r="R145" s="258">
        <v>23</v>
      </c>
      <c r="S145" s="258">
        <v>23.1</v>
      </c>
      <c r="T145" s="258">
        <v>23.1</v>
      </c>
      <c r="U145" s="258">
        <v>23.1</v>
      </c>
      <c r="V145" s="258">
        <v>23.2</v>
      </c>
      <c r="W145" s="258">
        <v>23.2</v>
      </c>
      <c r="X145" s="258">
        <v>23.3</v>
      </c>
      <c r="Y145" s="258">
        <v>23.4</v>
      </c>
      <c r="Z145" s="258">
        <v>23.4</v>
      </c>
    </row>
    <row r="146" spans="1:26" ht="13.15" x14ac:dyDescent="0.25">
      <c r="A146" t="s">
        <v>695</v>
      </c>
      <c r="C146" s="139" t="s">
        <v>225</v>
      </c>
      <c r="D146" s="95">
        <f t="shared" si="7"/>
        <v>-4.8638676133504774E-4</v>
      </c>
      <c r="E146" t="s">
        <v>173</v>
      </c>
      <c r="F146" s="95">
        <f t="shared" si="8"/>
        <v>2.1582733812949641E-2</v>
      </c>
      <c r="G146" s="136">
        <f t="shared" si="6"/>
        <v>3405.7995306738185</v>
      </c>
      <c r="H146" s="187">
        <v>35774</v>
      </c>
      <c r="I146" s="89">
        <v>35796</v>
      </c>
      <c r="J146" s="89">
        <v>2550</v>
      </c>
      <c r="K146" s="89">
        <v>2460</v>
      </c>
      <c r="L146" s="89">
        <v>2380</v>
      </c>
      <c r="M146" s="89">
        <v>2340</v>
      </c>
      <c r="N146" s="89">
        <v>121914000</v>
      </c>
      <c r="O146" s="113" t="s">
        <v>225</v>
      </c>
      <c r="P146" s="256">
        <v>35774</v>
      </c>
      <c r="Q146" s="258">
        <v>35.6</v>
      </c>
      <c r="R146" s="258">
        <v>35.6</v>
      </c>
      <c r="S146" s="258">
        <v>35.6</v>
      </c>
      <c r="T146" s="258">
        <v>35.6</v>
      </c>
      <c r="U146" s="258">
        <v>35.6</v>
      </c>
      <c r="V146" s="258">
        <v>35.700000000000003</v>
      </c>
      <c r="W146" s="258">
        <v>35.6</v>
      </c>
      <c r="X146" s="258">
        <v>35.6</v>
      </c>
      <c r="Y146" s="258">
        <v>35.6</v>
      </c>
      <c r="Z146" s="258">
        <v>35.6</v>
      </c>
    </row>
    <row r="147" spans="1:26" ht="13.15" x14ac:dyDescent="0.25">
      <c r="A147" t="s">
        <v>694</v>
      </c>
      <c r="C147" s="139" t="s">
        <v>380</v>
      </c>
      <c r="D147" s="95">
        <f t="shared" si="7"/>
        <v>2.5283437927739469E-3</v>
      </c>
      <c r="E147" t="s">
        <v>173</v>
      </c>
      <c r="F147" s="95">
        <f t="shared" si="8"/>
        <v>2.2411953041622197E-2</v>
      </c>
      <c r="G147" s="136">
        <f t="shared" si="6"/>
        <v>1723.4166624410527</v>
      </c>
      <c r="H147" s="187">
        <v>38721</v>
      </c>
      <c r="I147" s="89">
        <v>39442</v>
      </c>
      <c r="J147" s="89">
        <v>2445</v>
      </c>
      <c r="K147" s="89">
        <v>2395</v>
      </c>
      <c r="L147" s="89">
        <v>2295</v>
      </c>
      <c r="M147" s="89">
        <v>2235</v>
      </c>
      <c r="N147" s="89">
        <v>67975000</v>
      </c>
      <c r="O147" s="113" t="s">
        <v>380</v>
      </c>
      <c r="P147" s="256">
        <v>38721</v>
      </c>
      <c r="Q147" s="258">
        <v>38.9</v>
      </c>
      <c r="R147" s="258">
        <v>39</v>
      </c>
      <c r="S147" s="258">
        <v>39.1</v>
      </c>
      <c r="T147" s="258">
        <v>39</v>
      </c>
      <c r="U147" s="258">
        <v>39.200000000000003</v>
      </c>
      <c r="V147" s="258">
        <v>39.4</v>
      </c>
      <c r="W147" s="258">
        <v>39.6</v>
      </c>
      <c r="X147" s="258">
        <v>39.700000000000003</v>
      </c>
      <c r="Y147" s="258">
        <v>39.700000000000003</v>
      </c>
      <c r="Z147" s="258">
        <v>39.700000000000003</v>
      </c>
    </row>
    <row r="148" spans="1:26" ht="13.15" x14ac:dyDescent="0.25">
      <c r="A148" t="s">
        <v>690</v>
      </c>
      <c r="C148" s="139" t="s">
        <v>464</v>
      </c>
      <c r="D148" s="95">
        <f t="shared" si="7"/>
        <v>5.8276961785056116E-3</v>
      </c>
      <c r="E148" t="s">
        <v>544</v>
      </c>
      <c r="F148" s="95">
        <f t="shared" si="8"/>
        <v>1.3160518444666001E-2</v>
      </c>
      <c r="G148" s="136">
        <f t="shared" si="6"/>
        <v>868.24472697379531</v>
      </c>
      <c r="H148" s="187">
        <v>90619</v>
      </c>
      <c r="I148" s="89">
        <v>88801</v>
      </c>
      <c r="J148" s="89">
        <v>6505</v>
      </c>
      <c r="K148" s="89">
        <v>6295</v>
      </c>
      <c r="L148" s="89">
        <v>6100</v>
      </c>
      <c r="M148" s="89">
        <v>6175</v>
      </c>
      <c r="N148" s="89">
        <v>77101000</v>
      </c>
      <c r="O148" s="113" t="s">
        <v>464</v>
      </c>
      <c r="P148" s="256">
        <v>90619</v>
      </c>
      <c r="Q148" s="258">
        <v>90.9</v>
      </c>
      <c r="R148" s="258">
        <v>91.7</v>
      </c>
      <c r="S148" s="258">
        <v>92.3</v>
      </c>
      <c r="T148" s="258">
        <v>93</v>
      </c>
      <c r="U148" s="258">
        <v>93.5</v>
      </c>
      <c r="V148" s="258">
        <v>94</v>
      </c>
      <c r="W148" s="258">
        <v>94.5</v>
      </c>
      <c r="X148" s="258">
        <v>94.9</v>
      </c>
      <c r="Y148" s="258">
        <v>95.4</v>
      </c>
      <c r="Z148" s="258">
        <v>95.9</v>
      </c>
    </row>
    <row r="149" spans="1:26" ht="13.15" x14ac:dyDescent="0.25">
      <c r="A149" t="s">
        <v>694</v>
      </c>
      <c r="C149" s="139" t="s">
        <v>381</v>
      </c>
      <c r="D149" s="95">
        <f t="shared" si="7"/>
        <v>6.9842551473556719E-3</v>
      </c>
      <c r="E149" t="s">
        <v>578</v>
      </c>
      <c r="F149" s="95">
        <f t="shared" si="8"/>
        <v>3.1307550644567222E-2</v>
      </c>
      <c r="G149" s="136">
        <f t="shared" si="6"/>
        <v>4689.9883214778638</v>
      </c>
      <c r="H149" s="187">
        <v>29724</v>
      </c>
      <c r="I149" s="89">
        <v>28257</v>
      </c>
      <c r="J149" s="89">
        <v>2180</v>
      </c>
      <c r="K149" s="89">
        <v>2080</v>
      </c>
      <c r="L149" s="89">
        <v>1960</v>
      </c>
      <c r="M149" s="89">
        <v>1925</v>
      </c>
      <c r="N149" s="89">
        <v>132525000</v>
      </c>
      <c r="O149" s="113" t="s">
        <v>381</v>
      </c>
      <c r="P149" s="256">
        <v>29724</v>
      </c>
      <c r="Q149" s="258">
        <v>30.1</v>
      </c>
      <c r="R149" s="258">
        <v>30.4</v>
      </c>
      <c r="S149" s="258">
        <v>30.6</v>
      </c>
      <c r="T149" s="258">
        <v>30.5</v>
      </c>
      <c r="U149" s="258">
        <v>30.5</v>
      </c>
      <c r="V149" s="258">
        <v>30.8</v>
      </c>
      <c r="W149" s="258">
        <v>31.1</v>
      </c>
      <c r="X149" s="258">
        <v>31.4</v>
      </c>
      <c r="Y149" s="258">
        <v>31.6</v>
      </c>
      <c r="Z149" s="258">
        <v>31.8</v>
      </c>
    </row>
    <row r="150" spans="1:26" ht="13.15" x14ac:dyDescent="0.25">
      <c r="A150" t="s">
        <v>695</v>
      </c>
      <c r="C150" s="139" t="s">
        <v>547</v>
      </c>
      <c r="D150" s="95">
        <f t="shared" si="7"/>
        <v>3.5514088079888136E-4</v>
      </c>
      <c r="E150" t="s">
        <v>544</v>
      </c>
      <c r="F150" s="95">
        <f t="shared" si="8"/>
        <v>1.8315018315018316E-2</v>
      </c>
      <c r="G150" s="136">
        <f t="shared" si="6"/>
        <v>2289.9838149717689</v>
      </c>
      <c r="H150" s="187">
        <v>80813</v>
      </c>
      <c r="I150" s="89">
        <v>80939</v>
      </c>
      <c r="J150" s="89">
        <v>6020</v>
      </c>
      <c r="K150" s="89">
        <v>5880</v>
      </c>
      <c r="L150" s="89">
        <v>5710</v>
      </c>
      <c r="M150" s="89">
        <v>5595</v>
      </c>
      <c r="N150" s="89">
        <v>185349000</v>
      </c>
      <c r="O150" s="113" t="s">
        <v>547</v>
      </c>
      <c r="P150" s="256">
        <v>80813</v>
      </c>
      <c r="Q150" s="258">
        <v>81</v>
      </c>
      <c r="R150" s="258">
        <v>81</v>
      </c>
      <c r="S150" s="258">
        <v>81</v>
      </c>
      <c r="T150" s="258">
        <v>81.099999999999994</v>
      </c>
      <c r="U150" s="258">
        <v>81.099999999999994</v>
      </c>
      <c r="V150" s="258">
        <v>81.099999999999994</v>
      </c>
      <c r="W150" s="258">
        <v>81.2</v>
      </c>
      <c r="X150" s="258">
        <v>81.099999999999994</v>
      </c>
      <c r="Y150" s="258">
        <v>81.099999999999994</v>
      </c>
      <c r="Z150" s="258">
        <v>81.099999999999994</v>
      </c>
    </row>
    <row r="151" spans="1:26" ht="13.15" x14ac:dyDescent="0.25">
      <c r="A151" t="s">
        <v>693</v>
      </c>
      <c r="C151" s="139" t="s">
        <v>540</v>
      </c>
      <c r="D151" s="95">
        <f t="shared" si="7"/>
        <v>-1.8112488083889418E-3</v>
      </c>
      <c r="E151" t="s">
        <v>173</v>
      </c>
      <c r="F151" s="95">
        <f t="shared" si="8"/>
        <v>1.6897081413210446E-2</v>
      </c>
      <c r="G151" s="136">
        <f t="shared" si="6"/>
        <v>6.2974624930542697</v>
      </c>
      <c r="H151" s="187">
        <v>10490</v>
      </c>
      <c r="I151" s="89">
        <v>10798</v>
      </c>
      <c r="J151" s="89">
        <v>845</v>
      </c>
      <c r="K151" s="89">
        <v>825</v>
      </c>
      <c r="L151" s="89">
        <v>795</v>
      </c>
      <c r="M151" s="89">
        <v>790</v>
      </c>
      <c r="N151" s="89">
        <v>68000</v>
      </c>
      <c r="O151" s="113" t="s">
        <v>540</v>
      </c>
      <c r="P151" s="256">
        <v>10490</v>
      </c>
      <c r="Q151" s="258">
        <v>10.9</v>
      </c>
      <c r="R151" s="258">
        <v>10.9</v>
      </c>
      <c r="S151" s="258">
        <v>10.8</v>
      </c>
      <c r="T151" s="258">
        <v>10.7</v>
      </c>
      <c r="U151" s="258">
        <v>10.7</v>
      </c>
      <c r="V151" s="258">
        <v>10.6</v>
      </c>
      <c r="W151" s="258">
        <v>10.5</v>
      </c>
      <c r="X151" s="258">
        <v>10.4</v>
      </c>
      <c r="Y151" s="258">
        <v>10.3</v>
      </c>
      <c r="Z151" s="258">
        <v>10.3</v>
      </c>
    </row>
    <row r="152" spans="1:26" ht="13.15" x14ac:dyDescent="0.25">
      <c r="A152" t="s">
        <v>692</v>
      </c>
      <c r="C152" s="139" t="s">
        <v>263</v>
      </c>
      <c r="D152" s="95">
        <f t="shared" si="7"/>
        <v>-1.6273985912071897E-3</v>
      </c>
      <c r="E152" t="s">
        <v>578</v>
      </c>
      <c r="F152" s="95">
        <f t="shared" si="8"/>
        <v>2.5465230166503428E-2</v>
      </c>
      <c r="G152" s="136">
        <f t="shared" si="6"/>
        <v>154.57259489429111</v>
      </c>
      <c r="H152" s="187">
        <v>16468</v>
      </c>
      <c r="I152" s="89">
        <v>16413</v>
      </c>
      <c r="J152" s="89">
        <v>1340</v>
      </c>
      <c r="K152" s="89">
        <v>1305</v>
      </c>
      <c r="L152" s="89">
        <v>1250</v>
      </c>
      <c r="M152" s="89">
        <v>1210</v>
      </c>
      <c r="N152" s="89">
        <v>2537000</v>
      </c>
      <c r="O152" s="113" t="s">
        <v>263</v>
      </c>
      <c r="P152" s="256">
        <v>16468</v>
      </c>
      <c r="Q152" s="258">
        <v>16.600000000000001</v>
      </c>
      <c r="R152" s="258">
        <v>16.5</v>
      </c>
      <c r="S152" s="258">
        <v>16.399999999999999</v>
      </c>
      <c r="T152" s="258">
        <v>16.3</v>
      </c>
      <c r="U152" s="258">
        <v>16.3</v>
      </c>
      <c r="V152" s="258">
        <v>16.3</v>
      </c>
      <c r="W152" s="258">
        <v>16.3</v>
      </c>
      <c r="X152" s="258">
        <v>16.3</v>
      </c>
      <c r="Y152" s="258">
        <v>16.3</v>
      </c>
      <c r="Z152" s="258">
        <v>16.2</v>
      </c>
    </row>
    <row r="153" spans="1:26" ht="13.15" x14ac:dyDescent="0.25">
      <c r="A153" t="s">
        <v>690</v>
      </c>
      <c r="C153" s="139" t="s">
        <v>465</v>
      </c>
      <c r="D153" s="95">
        <f t="shared" si="7"/>
        <v>1.8016361797959372E-3</v>
      </c>
      <c r="E153" t="s">
        <v>173</v>
      </c>
      <c r="F153" s="95">
        <f t="shared" si="8"/>
        <v>2.200328407224959E-2</v>
      </c>
      <c r="G153" s="136">
        <f t="shared" si="6"/>
        <v>2953.9803303024678</v>
      </c>
      <c r="H153" s="187">
        <v>43516</v>
      </c>
      <c r="I153" s="89">
        <v>43112</v>
      </c>
      <c r="J153" s="89">
        <v>4005</v>
      </c>
      <c r="K153" s="89">
        <v>3825</v>
      </c>
      <c r="L153" s="89">
        <v>3725</v>
      </c>
      <c r="M153" s="89">
        <v>3670</v>
      </c>
      <c r="N153" s="89">
        <v>127352000</v>
      </c>
      <c r="O153" s="113" t="s">
        <v>465</v>
      </c>
      <c r="P153" s="256">
        <v>43516</v>
      </c>
      <c r="Q153" s="258">
        <v>43.3</v>
      </c>
      <c r="R153" s="258">
        <v>43.4</v>
      </c>
      <c r="S153" s="258">
        <v>43.5</v>
      </c>
      <c r="T153" s="258">
        <v>43.6</v>
      </c>
      <c r="U153" s="258">
        <v>43.7</v>
      </c>
      <c r="V153" s="258">
        <v>43.8</v>
      </c>
      <c r="W153" s="258">
        <v>43.9</v>
      </c>
      <c r="X153" s="258">
        <v>44</v>
      </c>
      <c r="Y153" s="258">
        <v>44.1</v>
      </c>
      <c r="Z153" s="258">
        <v>44.3</v>
      </c>
    </row>
    <row r="154" spans="1:26" ht="13.15" x14ac:dyDescent="0.25">
      <c r="A154" t="s">
        <v>694</v>
      </c>
      <c r="C154" s="139" t="s">
        <v>382</v>
      </c>
      <c r="D154" s="95">
        <f t="shared" si="7"/>
        <v>6.038568010134659E-3</v>
      </c>
      <c r="E154" t="s">
        <v>173</v>
      </c>
      <c r="F154" s="95">
        <f t="shared" si="8"/>
        <v>2.1691973969631236E-2</v>
      </c>
      <c r="G154" s="136">
        <f t="shared" si="6"/>
        <v>-2405.3574000288031</v>
      </c>
      <c r="H154" s="187">
        <v>21313</v>
      </c>
      <c r="I154" s="89">
        <v>20831</v>
      </c>
      <c r="J154" s="89">
        <v>1815</v>
      </c>
      <c r="K154" s="89">
        <v>1740</v>
      </c>
      <c r="L154" s="89">
        <v>1695</v>
      </c>
      <c r="M154" s="89">
        <v>1665</v>
      </c>
      <c r="N154" s="89">
        <v>-50106000</v>
      </c>
      <c r="O154" s="113" t="s">
        <v>382</v>
      </c>
      <c r="P154" s="256">
        <v>21313</v>
      </c>
      <c r="Q154" s="258">
        <v>21.5</v>
      </c>
      <c r="R154" s="258">
        <v>21.7</v>
      </c>
      <c r="S154" s="258">
        <v>21.9</v>
      </c>
      <c r="T154" s="258">
        <v>22</v>
      </c>
      <c r="U154" s="258">
        <v>22.1</v>
      </c>
      <c r="V154" s="258">
        <v>22.2</v>
      </c>
      <c r="W154" s="258">
        <v>22.3</v>
      </c>
      <c r="X154" s="258">
        <v>22.4</v>
      </c>
      <c r="Y154" s="258">
        <v>22.5</v>
      </c>
      <c r="Z154" s="258">
        <v>22.6</v>
      </c>
    </row>
    <row r="155" spans="1:26" ht="13.15" x14ac:dyDescent="0.25">
      <c r="A155" t="s">
        <v>690</v>
      </c>
      <c r="C155" s="139" t="s">
        <v>466</v>
      </c>
      <c r="D155" s="95">
        <f t="shared" si="7"/>
        <v>-2.4996728176940194E-3</v>
      </c>
      <c r="E155" t="s">
        <v>578</v>
      </c>
      <c r="F155" s="95">
        <f t="shared" si="8"/>
        <v>1.0835913312693499E-2</v>
      </c>
      <c r="G155" s="136">
        <f t="shared" si="6"/>
        <v>-353.49239050973614</v>
      </c>
      <c r="H155" s="187">
        <v>15282</v>
      </c>
      <c r="I155" s="89">
        <v>15047</v>
      </c>
      <c r="J155" s="89">
        <v>1650</v>
      </c>
      <c r="K155" s="89">
        <v>1640</v>
      </c>
      <c r="L155" s="89">
        <v>1590</v>
      </c>
      <c r="M155" s="89">
        <v>1580</v>
      </c>
      <c r="N155" s="89">
        <v>-5319000</v>
      </c>
      <c r="O155" s="113" t="s">
        <v>466</v>
      </c>
      <c r="P155" s="256">
        <v>15282</v>
      </c>
      <c r="Q155" s="258">
        <v>15.1</v>
      </c>
      <c r="R155" s="258">
        <v>15.2</v>
      </c>
      <c r="S155" s="258">
        <v>15.2</v>
      </c>
      <c r="T155" s="258">
        <v>15.2</v>
      </c>
      <c r="U155" s="258">
        <v>15.1</v>
      </c>
      <c r="V155" s="258">
        <v>15.1</v>
      </c>
      <c r="W155" s="258">
        <v>15.1</v>
      </c>
      <c r="X155" s="258">
        <v>15.1</v>
      </c>
      <c r="Y155" s="258">
        <v>15</v>
      </c>
      <c r="Z155" s="258">
        <v>14.9</v>
      </c>
    </row>
    <row r="156" spans="1:26" ht="13.15" x14ac:dyDescent="0.25">
      <c r="A156" t="s">
        <v>691</v>
      </c>
      <c r="C156" s="139" t="s">
        <v>339</v>
      </c>
      <c r="D156" s="95">
        <f t="shared" si="7"/>
        <v>3.6945397289546195E-3</v>
      </c>
      <c r="E156" t="s">
        <v>544</v>
      </c>
      <c r="F156" s="95">
        <f t="shared" si="8"/>
        <v>2.3939064200217627E-2</v>
      </c>
      <c r="G156" s="136">
        <f t="shared" si="6"/>
        <v>2370.237441107357</v>
      </c>
      <c r="H156" s="187">
        <v>88915</v>
      </c>
      <c r="I156" s="89">
        <v>85537</v>
      </c>
      <c r="J156" s="89">
        <v>9700</v>
      </c>
      <c r="K156" s="89">
        <v>9315</v>
      </c>
      <c r="L156" s="89">
        <v>8925</v>
      </c>
      <c r="M156" s="89">
        <v>8820</v>
      </c>
      <c r="N156" s="89">
        <v>202743000</v>
      </c>
      <c r="O156" s="113" t="s">
        <v>339</v>
      </c>
      <c r="P156" s="256">
        <v>88915</v>
      </c>
      <c r="Q156" s="258">
        <v>87.9</v>
      </c>
      <c r="R156" s="258">
        <v>88.5</v>
      </c>
      <c r="S156" s="258">
        <v>88.9</v>
      </c>
      <c r="T156" s="258">
        <v>89.4</v>
      </c>
      <c r="U156" s="258">
        <v>89.8</v>
      </c>
      <c r="V156" s="258">
        <v>90.3</v>
      </c>
      <c r="W156" s="258">
        <v>90.8</v>
      </c>
      <c r="X156" s="258">
        <v>91.3</v>
      </c>
      <c r="Y156" s="258">
        <v>91.7</v>
      </c>
      <c r="Z156" s="258">
        <v>92.2</v>
      </c>
    </row>
    <row r="157" spans="1:26" ht="13.15" x14ac:dyDescent="0.25">
      <c r="A157" t="s">
        <v>695</v>
      </c>
      <c r="C157" s="139" t="s">
        <v>226</v>
      </c>
      <c r="D157" s="95">
        <f t="shared" si="7"/>
        <v>-2.3080438756855576E-3</v>
      </c>
      <c r="E157" t="s">
        <v>578</v>
      </c>
      <c r="F157" s="95">
        <f t="shared" si="8"/>
        <v>2.1674140508221227E-2</v>
      </c>
      <c r="G157" s="136">
        <f t="shared" si="6"/>
        <v>299.27806960869685</v>
      </c>
      <c r="H157" s="187">
        <v>35008</v>
      </c>
      <c r="I157" s="89">
        <v>35599</v>
      </c>
      <c r="J157" s="89">
        <v>3495</v>
      </c>
      <c r="K157" s="89">
        <v>3380</v>
      </c>
      <c r="L157" s="89">
        <v>3300</v>
      </c>
      <c r="M157" s="89">
        <v>3205</v>
      </c>
      <c r="N157" s="89">
        <v>10654000</v>
      </c>
      <c r="O157" s="113" t="s">
        <v>226</v>
      </c>
      <c r="P157" s="256">
        <v>35008</v>
      </c>
      <c r="Q157" s="258">
        <v>34.9</v>
      </c>
      <c r="R157" s="258">
        <v>34.799999999999997</v>
      </c>
      <c r="S157" s="258">
        <v>34.700000000000003</v>
      </c>
      <c r="T157" s="258">
        <v>34.6</v>
      </c>
      <c r="U157" s="258">
        <v>34.6</v>
      </c>
      <c r="V157" s="258">
        <v>34.5</v>
      </c>
      <c r="W157" s="258">
        <v>34.4</v>
      </c>
      <c r="X157" s="258">
        <v>34.299999999999997</v>
      </c>
      <c r="Y157" s="258">
        <v>34.200000000000003</v>
      </c>
      <c r="Z157" s="258">
        <v>34.200000000000003</v>
      </c>
    </row>
    <row r="158" spans="1:26" ht="13.15" x14ac:dyDescent="0.25">
      <c r="A158" t="s">
        <v>691</v>
      </c>
      <c r="C158" s="139" t="s">
        <v>340</v>
      </c>
      <c r="D158" s="95">
        <f t="shared" si="7"/>
        <v>1.0505305179115453E-5</v>
      </c>
      <c r="E158" t="s">
        <v>578</v>
      </c>
      <c r="F158" s="95">
        <f t="shared" si="8"/>
        <v>1.447691887462442E-2</v>
      </c>
      <c r="G158" s="136">
        <f t="shared" si="6"/>
        <v>391.46384923380083</v>
      </c>
      <c r="H158" s="187">
        <v>47595</v>
      </c>
      <c r="I158" s="89">
        <v>47703</v>
      </c>
      <c r="J158" s="89">
        <v>4735</v>
      </c>
      <c r="K158" s="89">
        <v>4610</v>
      </c>
      <c r="L158" s="89">
        <v>4490</v>
      </c>
      <c r="M158" s="89">
        <v>4470</v>
      </c>
      <c r="N158" s="89">
        <v>18674000</v>
      </c>
      <c r="O158" s="113" t="s">
        <v>340</v>
      </c>
      <c r="P158" s="256">
        <v>47595</v>
      </c>
      <c r="Q158" s="258">
        <v>47.5</v>
      </c>
      <c r="R158" s="258">
        <v>47.5</v>
      </c>
      <c r="S158" s="258">
        <v>47.6</v>
      </c>
      <c r="T158" s="258">
        <v>47.6</v>
      </c>
      <c r="U158" s="258">
        <v>47.7</v>
      </c>
      <c r="V158" s="258">
        <v>47.8</v>
      </c>
      <c r="W158" s="258">
        <v>47.8</v>
      </c>
      <c r="X158" s="258">
        <v>47.7</v>
      </c>
      <c r="Y158" s="258">
        <v>47.7</v>
      </c>
      <c r="Z158" s="258">
        <v>47.6</v>
      </c>
    </row>
    <row r="159" spans="1:26" ht="13.15" x14ac:dyDescent="0.25">
      <c r="A159" t="s">
        <v>689</v>
      </c>
      <c r="C159" s="139" t="s">
        <v>166</v>
      </c>
      <c r="D159" s="95">
        <f t="shared" si="7"/>
        <v>2.1330441070137383E-3</v>
      </c>
      <c r="E159" t="s">
        <v>544</v>
      </c>
      <c r="F159" s="95">
        <f t="shared" si="8"/>
        <v>1.6425755584756899E-2</v>
      </c>
      <c r="G159" s="136">
        <f t="shared" si="6"/>
        <v>1719.0693945963671</v>
      </c>
      <c r="H159" s="187">
        <v>55320</v>
      </c>
      <c r="I159" s="89">
        <v>54889</v>
      </c>
      <c r="J159" s="89">
        <v>3935</v>
      </c>
      <c r="K159" s="89">
        <v>3880</v>
      </c>
      <c r="L159" s="89">
        <v>3720</v>
      </c>
      <c r="M159" s="89">
        <v>3685</v>
      </c>
      <c r="N159" s="89">
        <v>94358000</v>
      </c>
      <c r="O159" s="113" t="s">
        <v>166</v>
      </c>
      <c r="P159" s="256">
        <v>55320</v>
      </c>
      <c r="Q159" s="258">
        <v>55.8</v>
      </c>
      <c r="R159" s="258">
        <v>56.1</v>
      </c>
      <c r="S159" s="258">
        <v>56</v>
      </c>
      <c r="T159" s="258">
        <v>56.1</v>
      </c>
      <c r="U159" s="258">
        <v>56.2</v>
      </c>
      <c r="V159" s="258">
        <v>56.3</v>
      </c>
      <c r="W159" s="258">
        <v>56.3</v>
      </c>
      <c r="X159" s="258">
        <v>56.4</v>
      </c>
      <c r="Y159" s="258">
        <v>56.4</v>
      </c>
      <c r="Z159" s="258">
        <v>56.5</v>
      </c>
    </row>
    <row r="160" spans="1:26" ht="13.15" x14ac:dyDescent="0.25">
      <c r="A160" t="s">
        <v>698</v>
      </c>
      <c r="C160" s="139" t="s">
        <v>183</v>
      </c>
      <c r="D160" s="95">
        <f t="shared" si="7"/>
        <v>-9.6985276933863056E-4</v>
      </c>
      <c r="E160" t="s">
        <v>544</v>
      </c>
      <c r="F160" s="95">
        <f t="shared" si="8"/>
        <v>2.013888888888889E-2</v>
      </c>
      <c r="G160" s="136">
        <f t="shared" si="6"/>
        <v>1912.9047098740584</v>
      </c>
      <c r="H160" s="187">
        <v>34232</v>
      </c>
      <c r="I160" s="89">
        <v>34778</v>
      </c>
      <c r="J160" s="89">
        <v>1890</v>
      </c>
      <c r="K160" s="89">
        <v>1820</v>
      </c>
      <c r="L160" s="89">
        <v>1745</v>
      </c>
      <c r="M160" s="89">
        <v>1745</v>
      </c>
      <c r="N160" s="89">
        <v>66527000</v>
      </c>
      <c r="O160" s="113" t="s">
        <v>183</v>
      </c>
      <c r="P160" s="256">
        <v>34232</v>
      </c>
      <c r="Q160" s="258">
        <v>34.4</v>
      </c>
      <c r="R160" s="258">
        <v>34.5</v>
      </c>
      <c r="S160" s="258">
        <v>34.5</v>
      </c>
      <c r="T160" s="258">
        <v>34.4</v>
      </c>
      <c r="U160" s="258">
        <v>34.299999999999997</v>
      </c>
      <c r="V160" s="258">
        <v>34.200000000000003</v>
      </c>
      <c r="W160" s="258">
        <v>34.1</v>
      </c>
      <c r="X160" s="258">
        <v>34</v>
      </c>
      <c r="Y160" s="258">
        <v>33.9</v>
      </c>
      <c r="Z160" s="258">
        <v>33.9</v>
      </c>
    </row>
    <row r="161" spans="1:26" ht="13.15" x14ac:dyDescent="0.25">
      <c r="A161" t="s">
        <v>691</v>
      </c>
      <c r="C161" s="139" t="s">
        <v>341</v>
      </c>
      <c r="D161" s="95">
        <f t="shared" si="7"/>
        <v>3.1453825893903668E-3</v>
      </c>
      <c r="E161" t="s">
        <v>544</v>
      </c>
      <c r="F161" s="95">
        <f t="shared" si="8"/>
        <v>2.388682745825603E-2</v>
      </c>
      <c r="G161" s="136">
        <f t="shared" si="6"/>
        <v>1405.3246133550397</v>
      </c>
      <c r="H161" s="187">
        <v>72519</v>
      </c>
      <c r="I161" s="89">
        <v>71254</v>
      </c>
      <c r="J161" s="89">
        <v>5680</v>
      </c>
      <c r="K161" s="89">
        <v>5460</v>
      </c>
      <c r="L161" s="89">
        <v>5255</v>
      </c>
      <c r="M161" s="89">
        <v>5165</v>
      </c>
      <c r="N161" s="89">
        <v>100135000</v>
      </c>
      <c r="O161" s="113" t="s">
        <v>341</v>
      </c>
      <c r="P161" s="256">
        <v>72519</v>
      </c>
      <c r="Q161" s="258">
        <v>72</v>
      </c>
      <c r="R161" s="258">
        <v>72.099999999999994</v>
      </c>
      <c r="S161" s="258">
        <v>72.400000000000006</v>
      </c>
      <c r="T161" s="258">
        <v>72.7</v>
      </c>
      <c r="U161" s="258">
        <v>73.3</v>
      </c>
      <c r="V161" s="258">
        <v>73.7</v>
      </c>
      <c r="W161" s="258">
        <v>74.099999999999994</v>
      </c>
      <c r="X161" s="258">
        <v>74.5</v>
      </c>
      <c r="Y161" s="258">
        <v>74.7</v>
      </c>
      <c r="Z161" s="258">
        <v>74.8</v>
      </c>
    </row>
    <row r="162" spans="1:26" ht="13.15" x14ac:dyDescent="0.25">
      <c r="A162" t="s">
        <v>699</v>
      </c>
      <c r="C162" s="139" t="s">
        <v>505</v>
      </c>
      <c r="D162" s="95">
        <f t="shared" si="7"/>
        <v>-3.6430520944582888E-3</v>
      </c>
      <c r="E162" t="s">
        <v>578</v>
      </c>
      <c r="F162" s="95">
        <f t="shared" si="8"/>
        <v>1.8574677786201668E-2</v>
      </c>
      <c r="G162" s="136">
        <f t="shared" si="6"/>
        <v>680.9647636996923</v>
      </c>
      <c r="H162" s="187">
        <v>42135</v>
      </c>
      <c r="I162" s="89">
        <v>41917</v>
      </c>
      <c r="J162" s="89">
        <v>3425</v>
      </c>
      <c r="K162" s="89">
        <v>3330</v>
      </c>
      <c r="L162" s="89">
        <v>3255</v>
      </c>
      <c r="M162" s="89">
        <v>3180</v>
      </c>
      <c r="N162" s="89">
        <v>28544000</v>
      </c>
      <c r="O162" s="113" t="s">
        <v>505</v>
      </c>
      <c r="P162" s="256">
        <v>42135</v>
      </c>
      <c r="Q162" s="258">
        <v>41.9</v>
      </c>
      <c r="R162" s="258">
        <v>41.9</v>
      </c>
      <c r="S162" s="258">
        <v>41.8</v>
      </c>
      <c r="T162" s="258">
        <v>41.7</v>
      </c>
      <c r="U162" s="258">
        <v>41.6</v>
      </c>
      <c r="V162" s="258">
        <v>41.4</v>
      </c>
      <c r="W162" s="258">
        <v>41.2</v>
      </c>
      <c r="X162" s="258">
        <v>41</v>
      </c>
      <c r="Y162" s="258">
        <v>40.799999999999997</v>
      </c>
      <c r="Z162" s="258">
        <v>40.6</v>
      </c>
    </row>
    <row r="163" spans="1:26" ht="13.15" x14ac:dyDescent="0.25">
      <c r="A163" t="s">
        <v>697</v>
      </c>
      <c r="C163" s="139" t="s">
        <v>301</v>
      </c>
      <c r="D163" s="95">
        <f t="shared" si="7"/>
        <v>1.2293585426218201E-3</v>
      </c>
      <c r="E163" t="s">
        <v>173</v>
      </c>
      <c r="F163" s="95">
        <f t="shared" si="8"/>
        <v>2.377369846524225E-2</v>
      </c>
      <c r="G163" s="136">
        <f t="shared" si="6"/>
        <v>2063.5699352087604</v>
      </c>
      <c r="H163" s="187">
        <v>49294</v>
      </c>
      <c r="I163" s="89">
        <v>48309</v>
      </c>
      <c r="J163" s="89">
        <v>4365</v>
      </c>
      <c r="K163" s="89">
        <v>4215</v>
      </c>
      <c r="L163" s="89">
        <v>4065</v>
      </c>
      <c r="M163" s="89">
        <v>3970</v>
      </c>
      <c r="N163" s="89">
        <v>99689000</v>
      </c>
      <c r="O163" s="113" t="s">
        <v>301</v>
      </c>
      <c r="P163" s="256">
        <v>49294</v>
      </c>
      <c r="Q163" s="258">
        <v>49</v>
      </c>
      <c r="R163" s="258">
        <v>49.2</v>
      </c>
      <c r="S163" s="258">
        <v>49.4</v>
      </c>
      <c r="T163" s="258">
        <v>49.6</v>
      </c>
      <c r="U163" s="258">
        <v>49.8</v>
      </c>
      <c r="V163" s="258">
        <v>49.8</v>
      </c>
      <c r="W163" s="258">
        <v>49.8</v>
      </c>
      <c r="X163" s="258">
        <v>49.9</v>
      </c>
      <c r="Y163" s="258">
        <v>49.9</v>
      </c>
      <c r="Z163" s="258">
        <v>49.9</v>
      </c>
    </row>
    <row r="164" spans="1:26" ht="13.15" x14ac:dyDescent="0.25">
      <c r="A164" t="s">
        <v>691</v>
      </c>
      <c r="C164" s="139" t="s">
        <v>342</v>
      </c>
      <c r="D164" s="95">
        <f t="shared" si="7"/>
        <v>-4.3018028904248635E-4</v>
      </c>
      <c r="E164" t="s">
        <v>173</v>
      </c>
      <c r="F164" s="95">
        <f t="shared" si="8"/>
        <v>1.7302146747837231E-2</v>
      </c>
      <c r="G164" s="136">
        <f t="shared" si="6"/>
        <v>-1751.5755039207197</v>
      </c>
      <c r="H164" s="187">
        <v>41378</v>
      </c>
      <c r="I164" s="89">
        <v>41574</v>
      </c>
      <c r="J164" s="89">
        <v>4055</v>
      </c>
      <c r="K164" s="89">
        <v>3950</v>
      </c>
      <c r="L164" s="89">
        <v>3815</v>
      </c>
      <c r="M164" s="89">
        <v>3785</v>
      </c>
      <c r="N164" s="89">
        <v>-72820000</v>
      </c>
      <c r="O164" s="113" t="s">
        <v>342</v>
      </c>
      <c r="P164" s="256">
        <v>41378</v>
      </c>
      <c r="Q164" s="258">
        <v>41.4</v>
      </c>
      <c r="R164" s="258">
        <v>41.4</v>
      </c>
      <c r="S164" s="258">
        <v>41.4</v>
      </c>
      <c r="T164" s="258">
        <v>41.4</v>
      </c>
      <c r="U164" s="258">
        <v>41.4</v>
      </c>
      <c r="V164" s="258">
        <v>41.4</v>
      </c>
      <c r="W164" s="258">
        <v>41.4</v>
      </c>
      <c r="X164" s="258">
        <v>41.4</v>
      </c>
      <c r="Y164" s="258">
        <v>41.3</v>
      </c>
      <c r="Z164" s="258">
        <v>41.2</v>
      </c>
    </row>
    <row r="165" spans="1:26" ht="13.15" x14ac:dyDescent="0.25">
      <c r="A165" t="s">
        <v>701</v>
      </c>
      <c r="C165" s="139" t="s">
        <v>423</v>
      </c>
      <c r="D165" s="95">
        <f t="shared" si="7"/>
        <v>-2.1897810218978104E-3</v>
      </c>
      <c r="E165" t="s">
        <v>173</v>
      </c>
      <c r="F165" s="95">
        <f t="shared" si="8"/>
        <v>1.937984496124031E-2</v>
      </c>
      <c r="G165" s="136">
        <f t="shared" si="6"/>
        <v>1551.9325419803126</v>
      </c>
      <c r="H165" s="187">
        <v>27400</v>
      </c>
      <c r="I165" s="89">
        <v>27632</v>
      </c>
      <c r="J165" s="89">
        <v>2020</v>
      </c>
      <c r="K165" s="89">
        <v>1940</v>
      </c>
      <c r="L165" s="89">
        <v>1910</v>
      </c>
      <c r="M165" s="89">
        <v>1870</v>
      </c>
      <c r="N165" s="89">
        <v>42883000</v>
      </c>
      <c r="O165" s="113" t="s">
        <v>423</v>
      </c>
      <c r="P165" s="256">
        <v>27400</v>
      </c>
      <c r="Q165" s="258">
        <v>27.2</v>
      </c>
      <c r="R165" s="258">
        <v>27.2</v>
      </c>
      <c r="S165" s="258">
        <v>27.1</v>
      </c>
      <c r="T165" s="258">
        <v>27.1</v>
      </c>
      <c r="U165" s="258">
        <v>27</v>
      </c>
      <c r="V165" s="258">
        <v>27</v>
      </c>
      <c r="W165" s="258">
        <v>26.9</v>
      </c>
      <c r="X165" s="258">
        <v>26.9</v>
      </c>
      <c r="Y165" s="258">
        <v>26.8</v>
      </c>
      <c r="Z165" s="258">
        <v>26.8</v>
      </c>
    </row>
    <row r="166" spans="1:26" ht="13.15" x14ac:dyDescent="0.25">
      <c r="A166" t="s">
        <v>697</v>
      </c>
      <c r="C166" s="139" t="s">
        <v>302</v>
      </c>
      <c r="D166" s="95">
        <f t="shared" si="7"/>
        <v>-7.9108928258200314E-3</v>
      </c>
      <c r="E166" t="s">
        <v>578</v>
      </c>
      <c r="F166" s="95">
        <f t="shared" si="8"/>
        <v>2.1355617455896009E-2</v>
      </c>
      <c r="G166" s="136">
        <f t="shared" si="6"/>
        <v>86.80808847130227</v>
      </c>
      <c r="H166" s="187">
        <v>34206</v>
      </c>
      <c r="I166" s="89">
        <v>34271</v>
      </c>
      <c r="J166" s="89">
        <v>2815</v>
      </c>
      <c r="K166" s="89">
        <v>2740</v>
      </c>
      <c r="L166" s="89">
        <v>2630</v>
      </c>
      <c r="M166" s="89">
        <v>2585</v>
      </c>
      <c r="N166" s="89">
        <v>2975000</v>
      </c>
      <c r="O166" s="113" t="s">
        <v>302</v>
      </c>
      <c r="P166" s="256">
        <v>34206</v>
      </c>
      <c r="Q166" s="258">
        <v>33.700000000000003</v>
      </c>
      <c r="R166" s="258">
        <v>33.6</v>
      </c>
      <c r="S166" s="258">
        <v>33.4</v>
      </c>
      <c r="T166" s="258">
        <v>33.200000000000003</v>
      </c>
      <c r="U166" s="258">
        <v>32.799999999999997</v>
      </c>
      <c r="V166" s="258">
        <v>32.5</v>
      </c>
      <c r="W166" s="258">
        <v>32.200000000000003</v>
      </c>
      <c r="X166" s="258">
        <v>32</v>
      </c>
      <c r="Y166" s="258">
        <v>31.8</v>
      </c>
      <c r="Z166" s="258">
        <v>31.5</v>
      </c>
    </row>
    <row r="167" spans="1:26" ht="13.15" x14ac:dyDescent="0.25">
      <c r="A167" t="s">
        <v>694</v>
      </c>
      <c r="C167" s="139" t="s">
        <v>383</v>
      </c>
      <c r="D167" s="95">
        <f t="shared" si="7"/>
        <v>1.0323387799977253E-2</v>
      </c>
      <c r="E167" t="s">
        <v>578</v>
      </c>
      <c r="F167" s="95">
        <f t="shared" si="8"/>
        <v>1.8924302788844622E-2</v>
      </c>
      <c r="G167" s="136">
        <f t="shared" si="6"/>
        <v>1824.7747047855812</v>
      </c>
      <c r="H167" s="187">
        <v>26377</v>
      </c>
      <c r="I167" s="89">
        <v>25744</v>
      </c>
      <c r="J167" s="89">
        <v>2615</v>
      </c>
      <c r="K167" s="89">
        <v>2545</v>
      </c>
      <c r="L167" s="89">
        <v>2455</v>
      </c>
      <c r="M167" s="89">
        <v>2425</v>
      </c>
      <c r="N167" s="89">
        <v>46977000</v>
      </c>
      <c r="O167" s="113" t="s">
        <v>383</v>
      </c>
      <c r="P167" s="256">
        <v>26377</v>
      </c>
      <c r="Q167" s="258">
        <v>26.6</v>
      </c>
      <c r="R167" s="258">
        <v>27</v>
      </c>
      <c r="S167" s="258">
        <v>27.4</v>
      </c>
      <c r="T167" s="258">
        <v>27.7</v>
      </c>
      <c r="U167" s="258">
        <v>28.1</v>
      </c>
      <c r="V167" s="258">
        <v>28.5</v>
      </c>
      <c r="W167" s="258">
        <v>28.7</v>
      </c>
      <c r="X167" s="258">
        <v>28.9</v>
      </c>
      <c r="Y167" s="258">
        <v>29</v>
      </c>
      <c r="Z167" s="258">
        <v>29.1</v>
      </c>
    </row>
    <row r="168" spans="1:26" ht="13.15" x14ac:dyDescent="0.25">
      <c r="A168" t="s">
        <v>695</v>
      </c>
      <c r="C168" s="139" t="s">
        <v>227</v>
      </c>
      <c r="D168" s="95">
        <f t="shared" si="7"/>
        <v>4.353124880984118E-3</v>
      </c>
      <c r="E168" t="s">
        <v>173</v>
      </c>
      <c r="F168" s="95">
        <f t="shared" si="8"/>
        <v>2.1682847896440129E-2</v>
      </c>
      <c r="G168" s="136">
        <f t="shared" si="6"/>
        <v>2356.2567794103147</v>
      </c>
      <c r="H168" s="187">
        <v>52514</v>
      </c>
      <c r="I168" s="89">
        <v>50705</v>
      </c>
      <c r="J168" s="89">
        <v>4050</v>
      </c>
      <c r="K168" s="89">
        <v>3900</v>
      </c>
      <c r="L168" s="89">
        <v>3785</v>
      </c>
      <c r="M168" s="89">
        <v>3715</v>
      </c>
      <c r="N168" s="89">
        <v>119474000</v>
      </c>
      <c r="O168" s="113" t="s">
        <v>227</v>
      </c>
      <c r="P168" s="256">
        <v>52514</v>
      </c>
      <c r="Q168" s="258">
        <v>52.2</v>
      </c>
      <c r="R168" s="258">
        <v>52.6</v>
      </c>
      <c r="S168" s="258">
        <v>52.9</v>
      </c>
      <c r="T168" s="258">
        <v>53.1</v>
      </c>
      <c r="U168" s="258">
        <v>53.3</v>
      </c>
      <c r="V168" s="258">
        <v>53.7</v>
      </c>
      <c r="W168" s="258">
        <v>54</v>
      </c>
      <c r="X168" s="258">
        <v>54.3</v>
      </c>
      <c r="Y168" s="258">
        <v>54.6</v>
      </c>
      <c r="Z168" s="258">
        <v>54.8</v>
      </c>
    </row>
    <row r="169" spans="1:26" ht="13.15" x14ac:dyDescent="0.25">
      <c r="A169" t="s">
        <v>701</v>
      </c>
      <c r="C169" s="139" t="s">
        <v>424</v>
      </c>
      <c r="D169" s="95">
        <f t="shared" si="7"/>
        <v>-1.5847860538827259E-4</v>
      </c>
      <c r="E169" t="s">
        <v>578</v>
      </c>
      <c r="F169" s="95">
        <f t="shared" si="8"/>
        <v>2.6119402985074626E-2</v>
      </c>
      <c r="G169" s="136">
        <f t="shared" si="6"/>
        <v>1096.547830295209</v>
      </c>
      <c r="H169" s="187">
        <v>12620</v>
      </c>
      <c r="I169" s="89">
        <v>12398</v>
      </c>
      <c r="J169" s="89">
        <v>1055</v>
      </c>
      <c r="K169" s="89">
        <v>1025</v>
      </c>
      <c r="L169" s="89">
        <v>990</v>
      </c>
      <c r="M169" s="89">
        <v>950</v>
      </c>
      <c r="N169" s="89">
        <v>13595000</v>
      </c>
      <c r="O169" s="113" t="s">
        <v>424</v>
      </c>
      <c r="P169" s="256">
        <v>12620</v>
      </c>
      <c r="Q169" s="258">
        <v>12.7</v>
      </c>
      <c r="R169" s="258">
        <v>12.7</v>
      </c>
      <c r="S169" s="258">
        <v>12.7</v>
      </c>
      <c r="T169" s="258">
        <v>12.7</v>
      </c>
      <c r="U169" s="258">
        <v>12.7</v>
      </c>
      <c r="V169" s="258">
        <v>12.7</v>
      </c>
      <c r="W169" s="258">
        <v>12.6</v>
      </c>
      <c r="X169" s="258">
        <v>12.6</v>
      </c>
      <c r="Y169" s="258">
        <v>12.6</v>
      </c>
      <c r="Z169" s="258">
        <v>12.6</v>
      </c>
    </row>
    <row r="170" spans="1:26" ht="13.15" x14ac:dyDescent="0.25">
      <c r="A170" t="s">
        <v>694</v>
      </c>
      <c r="C170" s="139" t="s">
        <v>384</v>
      </c>
      <c r="D170" s="95">
        <f t="shared" si="7"/>
        <v>6.4357202615189166E-3</v>
      </c>
      <c r="E170" t="s">
        <v>173</v>
      </c>
      <c r="F170" s="95">
        <f t="shared" si="8"/>
        <v>2.6114649681528664E-2</v>
      </c>
      <c r="G170" s="136">
        <f t="shared" si="6"/>
        <v>1073.2281195979256</v>
      </c>
      <c r="H170" s="187">
        <v>64546</v>
      </c>
      <c r="I170" s="89">
        <v>62476</v>
      </c>
      <c r="J170" s="89">
        <v>4135</v>
      </c>
      <c r="K170" s="89">
        <v>4025</v>
      </c>
      <c r="L170" s="89">
        <v>3815</v>
      </c>
      <c r="M170" s="89">
        <v>3725</v>
      </c>
      <c r="N170" s="89">
        <v>67051000</v>
      </c>
      <c r="O170" s="113" t="s">
        <v>384</v>
      </c>
      <c r="P170" s="256">
        <v>64546</v>
      </c>
      <c r="Q170" s="258">
        <v>65.599999999999994</v>
      </c>
      <c r="R170" s="258">
        <v>66.5</v>
      </c>
      <c r="S170" s="258">
        <v>67</v>
      </c>
      <c r="T170" s="258">
        <v>67.3</v>
      </c>
      <c r="U170" s="258">
        <v>67.5</v>
      </c>
      <c r="V170" s="258">
        <v>67.8</v>
      </c>
      <c r="W170" s="258">
        <v>67.900000000000006</v>
      </c>
      <c r="X170" s="258">
        <v>68.099999999999994</v>
      </c>
      <c r="Y170" s="258">
        <v>68.3</v>
      </c>
      <c r="Z170" s="258">
        <v>68.7</v>
      </c>
    </row>
    <row r="171" spans="1:26" ht="13.15" x14ac:dyDescent="0.25">
      <c r="A171" t="s">
        <v>699</v>
      </c>
      <c r="C171" s="139" t="s">
        <v>506</v>
      </c>
      <c r="D171" s="95">
        <f t="shared" si="7"/>
        <v>-4.4696870783827308E-3</v>
      </c>
      <c r="E171" t="s">
        <v>544</v>
      </c>
      <c r="F171" s="95">
        <f t="shared" si="8"/>
        <v>7.8781512605042014E-3</v>
      </c>
      <c r="G171" s="136">
        <f t="shared" si="6"/>
        <v>813.98054145516073</v>
      </c>
      <c r="H171" s="187">
        <v>45954</v>
      </c>
      <c r="I171" s="89">
        <v>47280</v>
      </c>
      <c r="J171" s="89">
        <v>2430</v>
      </c>
      <c r="K171" s="89">
        <v>2400</v>
      </c>
      <c r="L171" s="89">
        <v>2335</v>
      </c>
      <c r="M171" s="89">
        <v>2355</v>
      </c>
      <c r="N171" s="89">
        <v>38485000</v>
      </c>
      <c r="O171" s="113" t="s">
        <v>506</v>
      </c>
      <c r="P171" s="256">
        <v>45954</v>
      </c>
      <c r="Q171" s="258">
        <v>45.6</v>
      </c>
      <c r="R171" s="258">
        <v>45.3</v>
      </c>
      <c r="S171" s="258">
        <v>44.9</v>
      </c>
      <c r="T171" s="258">
        <v>44.5</v>
      </c>
      <c r="U171" s="258">
        <v>44.3</v>
      </c>
      <c r="V171" s="258">
        <v>44.2</v>
      </c>
      <c r="W171" s="258">
        <v>44.2</v>
      </c>
      <c r="X171" s="258">
        <v>44.2</v>
      </c>
      <c r="Y171" s="258">
        <v>44.1</v>
      </c>
      <c r="Z171" s="258">
        <v>43.9</v>
      </c>
    </row>
    <row r="172" spans="1:26" ht="13.15" x14ac:dyDescent="0.25">
      <c r="A172" t="s">
        <v>691</v>
      </c>
      <c r="C172" s="139" t="s">
        <v>343</v>
      </c>
      <c r="D172" s="95">
        <f t="shared" si="7"/>
        <v>2.5572722429408629E-3</v>
      </c>
      <c r="E172" t="s">
        <v>578</v>
      </c>
      <c r="F172" s="95">
        <f t="shared" si="8"/>
        <v>2.6239067055393587E-2</v>
      </c>
      <c r="G172" s="136">
        <f t="shared" si="6"/>
        <v>560.48332960393827</v>
      </c>
      <c r="H172" s="187">
        <v>22524</v>
      </c>
      <c r="I172" s="89">
        <v>22345</v>
      </c>
      <c r="J172" s="89">
        <v>2265</v>
      </c>
      <c r="K172" s="89">
        <v>2165</v>
      </c>
      <c r="L172" s="89">
        <v>2105</v>
      </c>
      <c r="M172" s="89">
        <v>2040</v>
      </c>
      <c r="N172" s="89">
        <v>12524000</v>
      </c>
      <c r="O172" s="113" t="s">
        <v>343</v>
      </c>
      <c r="P172" s="256">
        <v>22524</v>
      </c>
      <c r="Q172" s="258">
        <v>22.6</v>
      </c>
      <c r="R172" s="258">
        <v>22.7</v>
      </c>
      <c r="S172" s="258">
        <v>22.7</v>
      </c>
      <c r="T172" s="258">
        <v>22.8</v>
      </c>
      <c r="U172" s="258">
        <v>22.9</v>
      </c>
      <c r="V172" s="258">
        <v>22.9</v>
      </c>
      <c r="W172" s="258">
        <v>22.9</v>
      </c>
      <c r="X172" s="258">
        <v>23</v>
      </c>
      <c r="Y172" s="258">
        <v>23</v>
      </c>
      <c r="Z172" s="258">
        <v>23.1</v>
      </c>
    </row>
    <row r="173" spans="1:26" ht="13.15" x14ac:dyDescent="0.25">
      <c r="A173" t="s">
        <v>693</v>
      </c>
      <c r="C173" s="139" t="s">
        <v>535</v>
      </c>
      <c r="D173" s="95">
        <f t="shared" si="7"/>
        <v>1.7475728155339806E-3</v>
      </c>
      <c r="E173" t="s">
        <v>173</v>
      </c>
      <c r="F173" s="95">
        <f t="shared" si="8"/>
        <v>2.1013597033374538E-2</v>
      </c>
      <c r="G173" s="136">
        <f t="shared" si="6"/>
        <v>1577.2508910584224</v>
      </c>
      <c r="H173" s="187">
        <v>12875</v>
      </c>
      <c r="I173" s="89">
        <v>12906</v>
      </c>
      <c r="J173" s="89">
        <v>1055</v>
      </c>
      <c r="K173" s="89">
        <v>1020</v>
      </c>
      <c r="L173" s="89">
        <v>1000</v>
      </c>
      <c r="M173" s="89">
        <v>970</v>
      </c>
      <c r="N173" s="89">
        <v>20356000</v>
      </c>
      <c r="O173" s="113" t="s">
        <v>535</v>
      </c>
      <c r="P173" s="256">
        <v>12875</v>
      </c>
      <c r="Q173" s="258">
        <v>13.1</v>
      </c>
      <c r="R173" s="258">
        <v>13.2</v>
      </c>
      <c r="S173" s="258">
        <v>13.1</v>
      </c>
      <c r="T173" s="258">
        <v>13.1</v>
      </c>
      <c r="U173" s="258">
        <v>13.1</v>
      </c>
      <c r="V173" s="258">
        <v>13.1</v>
      </c>
      <c r="W173" s="258">
        <v>13.1</v>
      </c>
      <c r="X173" s="258">
        <v>13.1</v>
      </c>
      <c r="Y173" s="258">
        <v>13.1</v>
      </c>
      <c r="Z173" s="258">
        <v>13.1</v>
      </c>
    </row>
    <row r="174" spans="1:26" ht="13.15" x14ac:dyDescent="0.25">
      <c r="A174" t="s">
        <v>694</v>
      </c>
      <c r="C174" s="139" t="s">
        <v>385</v>
      </c>
      <c r="D174" s="95">
        <f t="shared" si="7"/>
        <v>-6.8833302903049121E-3</v>
      </c>
      <c r="E174" t="s">
        <v>578</v>
      </c>
      <c r="F174" s="95">
        <f t="shared" si="8"/>
        <v>1.0796221322537112E-2</v>
      </c>
      <c r="G174" s="136">
        <f t="shared" si="6"/>
        <v>894.91713730210165</v>
      </c>
      <c r="H174" s="187">
        <v>10954</v>
      </c>
      <c r="I174" s="89">
        <v>10801</v>
      </c>
      <c r="J174" s="89">
        <v>940</v>
      </c>
      <c r="K174" s="89">
        <v>950</v>
      </c>
      <c r="L174" s="89">
        <v>915</v>
      </c>
      <c r="M174" s="89">
        <v>900</v>
      </c>
      <c r="N174" s="89">
        <v>9666000</v>
      </c>
      <c r="O174" s="113" t="s">
        <v>385</v>
      </c>
      <c r="P174" s="256">
        <v>10954</v>
      </c>
      <c r="Q174" s="258">
        <v>10.6</v>
      </c>
      <c r="R174" s="258">
        <v>10.6</v>
      </c>
      <c r="S174" s="258">
        <v>10.5</v>
      </c>
      <c r="T174" s="258">
        <v>10.5</v>
      </c>
      <c r="U174" s="258">
        <v>10.5</v>
      </c>
      <c r="V174" s="258">
        <v>10.4</v>
      </c>
      <c r="W174" s="258">
        <v>10.4</v>
      </c>
      <c r="X174" s="258">
        <v>10.3</v>
      </c>
      <c r="Y174" s="258">
        <v>10.3</v>
      </c>
      <c r="Z174" s="258">
        <v>10.199999999999999</v>
      </c>
    </row>
    <row r="175" spans="1:26" ht="13.15" x14ac:dyDescent="0.25">
      <c r="A175" t="s">
        <v>694</v>
      </c>
      <c r="C175" s="139" t="s">
        <v>386</v>
      </c>
      <c r="D175" s="95">
        <f t="shared" si="7"/>
        <v>1.2388894608600159E-3</v>
      </c>
      <c r="E175" t="s">
        <v>578</v>
      </c>
      <c r="F175" s="95">
        <f t="shared" si="8"/>
        <v>1.4383989993746092E-2</v>
      </c>
      <c r="G175" s="136">
        <f t="shared" si="6"/>
        <v>-232.12045169385195</v>
      </c>
      <c r="H175" s="187">
        <v>29139</v>
      </c>
      <c r="I175" s="89">
        <v>28692</v>
      </c>
      <c r="J175" s="89">
        <v>2075</v>
      </c>
      <c r="K175" s="89">
        <v>1995</v>
      </c>
      <c r="L175" s="89">
        <v>1965</v>
      </c>
      <c r="M175" s="89">
        <v>1960</v>
      </c>
      <c r="N175" s="89">
        <v>-6660000</v>
      </c>
      <c r="O175" s="113" t="s">
        <v>386</v>
      </c>
      <c r="P175" s="256">
        <v>29139</v>
      </c>
      <c r="Q175" s="258">
        <v>29.1</v>
      </c>
      <c r="R175" s="258">
        <v>29.2</v>
      </c>
      <c r="S175" s="258">
        <v>29.3</v>
      </c>
      <c r="T175" s="258">
        <v>29.4</v>
      </c>
      <c r="U175" s="258">
        <v>29.4</v>
      </c>
      <c r="V175" s="258">
        <v>29.4</v>
      </c>
      <c r="W175" s="258">
        <v>29.4</v>
      </c>
      <c r="X175" s="258">
        <v>29.4</v>
      </c>
      <c r="Y175" s="258">
        <v>29.4</v>
      </c>
      <c r="Z175" s="258">
        <v>29.5</v>
      </c>
    </row>
    <row r="176" spans="1:26" ht="13.15" x14ac:dyDescent="0.25">
      <c r="A176" t="s">
        <v>694</v>
      </c>
      <c r="C176" s="139" t="s">
        <v>595</v>
      </c>
      <c r="D176" s="95">
        <f t="shared" si="7"/>
        <v>6.9180339744286286E-4</v>
      </c>
      <c r="E176" t="s">
        <v>173</v>
      </c>
      <c r="F176" s="95">
        <f t="shared" si="8"/>
        <v>2.280790674100355E-2</v>
      </c>
      <c r="G176" s="136">
        <f t="shared" si="6"/>
        <v>563.72171543655963</v>
      </c>
      <c r="H176" s="187">
        <v>55218</v>
      </c>
      <c r="I176" s="89">
        <v>67528</v>
      </c>
      <c r="J176" s="89">
        <v>5145</v>
      </c>
      <c r="K176" s="89">
        <v>5030</v>
      </c>
      <c r="L176" s="89">
        <v>4860</v>
      </c>
      <c r="M176" s="89">
        <v>4695</v>
      </c>
      <c r="N176" s="89">
        <v>38067000</v>
      </c>
      <c r="O176" s="113" t="s">
        <v>595</v>
      </c>
      <c r="P176" s="256">
        <v>55218</v>
      </c>
      <c r="Q176" s="258">
        <v>54.6</v>
      </c>
      <c r="R176" s="258">
        <v>54.8</v>
      </c>
      <c r="S176" s="258">
        <v>55</v>
      </c>
      <c r="T176" s="258">
        <v>55.1</v>
      </c>
      <c r="U176" s="258">
        <v>55.3</v>
      </c>
      <c r="V176" s="258">
        <v>55.4</v>
      </c>
      <c r="W176" s="258">
        <v>55.5</v>
      </c>
      <c r="X176" s="258">
        <v>55.6</v>
      </c>
      <c r="Y176" s="258">
        <v>55.6</v>
      </c>
      <c r="Z176" s="258">
        <v>55.6</v>
      </c>
    </row>
    <row r="177" spans="1:26" ht="13.15" x14ac:dyDescent="0.25">
      <c r="A177" t="s">
        <v>690</v>
      </c>
      <c r="C177" s="139" t="s">
        <v>467</v>
      </c>
      <c r="D177" s="95">
        <f t="shared" si="7"/>
        <v>5.263157894736842E-3</v>
      </c>
      <c r="E177" t="s">
        <v>578</v>
      </c>
      <c r="F177" s="95">
        <f t="shared" si="8"/>
        <v>2.0502645502645502E-2</v>
      </c>
      <c r="G177" s="136">
        <f t="shared" si="6"/>
        <v>4.0262865605331362</v>
      </c>
      <c r="H177" s="187">
        <v>21945</v>
      </c>
      <c r="I177" s="89">
        <v>21608</v>
      </c>
      <c r="J177" s="89">
        <v>1970</v>
      </c>
      <c r="K177" s="89">
        <v>1935</v>
      </c>
      <c r="L177" s="89">
        <v>1840</v>
      </c>
      <c r="M177" s="89">
        <v>1815</v>
      </c>
      <c r="N177" s="89">
        <v>87000</v>
      </c>
      <c r="O177" s="113" t="s">
        <v>467</v>
      </c>
      <c r="P177" s="256">
        <v>21945</v>
      </c>
      <c r="Q177" s="258">
        <v>22.2</v>
      </c>
      <c r="R177" s="258">
        <v>22.4</v>
      </c>
      <c r="S177" s="258">
        <v>22.5</v>
      </c>
      <c r="T177" s="258">
        <v>22.6</v>
      </c>
      <c r="U177" s="258">
        <v>22.7</v>
      </c>
      <c r="V177" s="258">
        <v>22.8</v>
      </c>
      <c r="W177" s="258">
        <v>22.9</v>
      </c>
      <c r="X177" s="258">
        <v>23</v>
      </c>
      <c r="Y177" s="258">
        <v>23</v>
      </c>
      <c r="Z177" s="258">
        <v>23.1</v>
      </c>
    </row>
    <row r="178" spans="1:26" ht="13.15" x14ac:dyDescent="0.25">
      <c r="A178" t="s">
        <v>690</v>
      </c>
      <c r="C178" s="139" t="s">
        <v>468</v>
      </c>
      <c r="D178" s="95">
        <f t="shared" si="7"/>
        <v>-7.6385715218384794E-4</v>
      </c>
      <c r="E178" t="s">
        <v>578</v>
      </c>
      <c r="F178" s="95">
        <f t="shared" si="8"/>
        <v>2.4137931034482758E-2</v>
      </c>
      <c r="G178" s="136">
        <f t="shared" si="6"/>
        <v>-202.64170981016858</v>
      </c>
      <c r="H178" s="187">
        <v>15317</v>
      </c>
      <c r="I178" s="89">
        <v>15066</v>
      </c>
      <c r="J178" s="89">
        <v>1535</v>
      </c>
      <c r="K178" s="89">
        <v>1455</v>
      </c>
      <c r="L178" s="89">
        <v>1415</v>
      </c>
      <c r="M178" s="89">
        <v>1395</v>
      </c>
      <c r="N178" s="89">
        <v>-3053000</v>
      </c>
      <c r="O178" s="113" t="s">
        <v>468</v>
      </c>
      <c r="P178" s="256">
        <v>15317</v>
      </c>
      <c r="Q178" s="258">
        <v>15.3</v>
      </c>
      <c r="R178" s="258">
        <v>15.4</v>
      </c>
      <c r="S178" s="258">
        <v>15.4</v>
      </c>
      <c r="T178" s="258">
        <v>15.4</v>
      </c>
      <c r="U178" s="258">
        <v>15.4</v>
      </c>
      <c r="V178" s="258">
        <v>15.4</v>
      </c>
      <c r="W178" s="258">
        <v>15.3</v>
      </c>
      <c r="X178" s="258">
        <v>15.3</v>
      </c>
      <c r="Y178" s="258">
        <v>15.2</v>
      </c>
      <c r="Z178" s="258">
        <v>15.2</v>
      </c>
    </row>
    <row r="179" spans="1:26" ht="13.15" x14ac:dyDescent="0.25">
      <c r="A179" t="s">
        <v>699</v>
      </c>
      <c r="C179" s="139" t="s">
        <v>507</v>
      </c>
      <c r="D179" s="95">
        <f t="shared" si="7"/>
        <v>-5.8139224632460847E-3</v>
      </c>
      <c r="E179" t="s">
        <v>544</v>
      </c>
      <c r="F179" s="95">
        <f t="shared" si="8"/>
        <v>1.8243243243243244E-2</v>
      </c>
      <c r="G179" s="136">
        <f t="shared" si="6"/>
        <v>-562.77090393254002</v>
      </c>
      <c r="H179" s="187">
        <v>37479</v>
      </c>
      <c r="I179" s="89">
        <v>38067</v>
      </c>
      <c r="J179" s="89">
        <v>1920</v>
      </c>
      <c r="K179" s="89">
        <v>1880</v>
      </c>
      <c r="L179" s="89">
        <v>1815</v>
      </c>
      <c r="M179" s="89">
        <v>1785</v>
      </c>
      <c r="N179" s="89">
        <v>-21423000</v>
      </c>
      <c r="O179" s="113" t="s">
        <v>507</v>
      </c>
      <c r="P179" s="256">
        <v>37479</v>
      </c>
      <c r="Q179" s="258">
        <v>37.200000000000003</v>
      </c>
      <c r="R179" s="258">
        <v>37</v>
      </c>
      <c r="S179" s="258">
        <v>36.799999999999997</v>
      </c>
      <c r="T179" s="258">
        <v>36.5</v>
      </c>
      <c r="U179" s="258">
        <v>36.200000000000003</v>
      </c>
      <c r="V179" s="258">
        <v>35.9</v>
      </c>
      <c r="W179" s="258">
        <v>35.700000000000003</v>
      </c>
      <c r="X179" s="258">
        <v>35.4</v>
      </c>
      <c r="Y179" s="258">
        <v>35.299999999999997</v>
      </c>
      <c r="Z179" s="258">
        <v>35.299999999999997</v>
      </c>
    </row>
    <row r="180" spans="1:26" ht="13.15" x14ac:dyDescent="0.25">
      <c r="A180" t="s">
        <v>691</v>
      </c>
      <c r="C180" s="139" t="s">
        <v>344</v>
      </c>
      <c r="D180" s="95">
        <f t="shared" si="7"/>
        <v>5.5900621118012426E-3</v>
      </c>
      <c r="E180" t="s">
        <v>578</v>
      </c>
      <c r="F180" s="95">
        <f t="shared" si="8"/>
        <v>3.8668098818474758E-2</v>
      </c>
      <c r="G180" s="136">
        <f t="shared" si="6"/>
        <v>2187.3427520805108</v>
      </c>
      <c r="H180" s="187">
        <v>11270</v>
      </c>
      <c r="I180" s="89">
        <v>10334</v>
      </c>
      <c r="J180" s="89">
        <v>1265</v>
      </c>
      <c r="K180" s="89">
        <v>1180</v>
      </c>
      <c r="L180" s="89">
        <v>1125</v>
      </c>
      <c r="M180" s="89">
        <v>1085</v>
      </c>
      <c r="N180" s="89">
        <v>22604000</v>
      </c>
      <c r="O180" s="113" t="s">
        <v>344</v>
      </c>
      <c r="P180" s="256">
        <v>11270</v>
      </c>
      <c r="Q180" s="258">
        <v>11.1</v>
      </c>
      <c r="R180" s="258">
        <v>11.3</v>
      </c>
      <c r="S180" s="258">
        <v>11.5</v>
      </c>
      <c r="T180" s="258">
        <v>11.7</v>
      </c>
      <c r="U180" s="258">
        <v>11.8</v>
      </c>
      <c r="V180" s="258">
        <v>11.8</v>
      </c>
      <c r="W180" s="258">
        <v>11.8</v>
      </c>
      <c r="X180" s="258">
        <v>11.7</v>
      </c>
      <c r="Y180" s="258">
        <v>11.8</v>
      </c>
      <c r="Z180" s="258">
        <v>11.9</v>
      </c>
    </row>
    <row r="181" spans="1:26" ht="13.15" x14ac:dyDescent="0.25">
      <c r="A181" t="s">
        <v>691</v>
      </c>
      <c r="C181" s="139" t="s">
        <v>345</v>
      </c>
      <c r="D181" s="95">
        <f t="shared" si="7"/>
        <v>-4.2004634994206256E-4</v>
      </c>
      <c r="E181" t="s">
        <v>578</v>
      </c>
      <c r="F181" s="95">
        <f t="shared" si="8"/>
        <v>2.5466893039049237E-2</v>
      </c>
      <c r="G181" s="136">
        <f t="shared" si="6"/>
        <v>2196.3247008262015</v>
      </c>
      <c r="H181" s="187">
        <v>27616</v>
      </c>
      <c r="I181" s="89">
        <v>26991</v>
      </c>
      <c r="J181" s="89">
        <v>2325</v>
      </c>
      <c r="K181" s="89">
        <v>2240</v>
      </c>
      <c r="L181" s="89">
        <v>2170</v>
      </c>
      <c r="M181" s="89">
        <v>2100</v>
      </c>
      <c r="N181" s="89">
        <v>59281000</v>
      </c>
      <c r="O181" s="113" t="s">
        <v>345</v>
      </c>
      <c r="P181" s="256">
        <v>27616</v>
      </c>
      <c r="Q181" s="258">
        <v>27.7</v>
      </c>
      <c r="R181" s="258">
        <v>27.8</v>
      </c>
      <c r="S181" s="258">
        <v>27.9</v>
      </c>
      <c r="T181" s="258">
        <v>27.9</v>
      </c>
      <c r="U181" s="258">
        <v>27.8</v>
      </c>
      <c r="V181" s="258">
        <v>27.6</v>
      </c>
      <c r="W181" s="258">
        <v>27.4</v>
      </c>
      <c r="X181" s="258">
        <v>27.5</v>
      </c>
      <c r="Y181" s="258">
        <v>27.6</v>
      </c>
      <c r="Z181" s="258">
        <v>27.5</v>
      </c>
    </row>
    <row r="182" spans="1:26" ht="13.15" x14ac:dyDescent="0.25">
      <c r="A182" t="s">
        <v>694</v>
      </c>
      <c r="C182" s="139" t="s">
        <v>387</v>
      </c>
      <c r="D182" s="95">
        <f t="shared" si="7"/>
        <v>8.6558620919165372E-3</v>
      </c>
      <c r="E182" t="s">
        <v>578</v>
      </c>
      <c r="F182" s="95">
        <f t="shared" si="8"/>
        <v>2.9453015427769985E-2</v>
      </c>
      <c r="G182" s="136">
        <f t="shared" si="6"/>
        <v>4986.9537682077262</v>
      </c>
      <c r="H182" s="187">
        <v>60098</v>
      </c>
      <c r="I182" s="89">
        <v>55265</v>
      </c>
      <c r="J182" s="89">
        <v>5680</v>
      </c>
      <c r="K182" s="89">
        <v>5460</v>
      </c>
      <c r="L182" s="89">
        <v>5200</v>
      </c>
      <c r="M182" s="89">
        <v>5050</v>
      </c>
      <c r="N182" s="89">
        <v>275604000</v>
      </c>
      <c r="O182" s="113" t="s">
        <v>387</v>
      </c>
      <c r="P182" s="256">
        <v>60098</v>
      </c>
      <c r="Q182" s="258">
        <v>59.2</v>
      </c>
      <c r="R182" s="258">
        <v>60.2</v>
      </c>
      <c r="S182" s="258">
        <v>61.1</v>
      </c>
      <c r="T182" s="258">
        <v>62</v>
      </c>
      <c r="U182" s="258">
        <v>63.2</v>
      </c>
      <c r="V182" s="258">
        <v>63.9</v>
      </c>
      <c r="W182" s="258">
        <v>64.599999999999994</v>
      </c>
      <c r="X182" s="258">
        <v>64.900000000000006</v>
      </c>
      <c r="Y182" s="258">
        <v>65.099999999999994</v>
      </c>
      <c r="Z182" s="258">
        <v>65.3</v>
      </c>
    </row>
    <row r="183" spans="1:26" ht="13.15" x14ac:dyDescent="0.25">
      <c r="A183" t="s">
        <v>691</v>
      </c>
      <c r="C183" s="139" t="s">
        <v>346</v>
      </c>
      <c r="D183" s="95">
        <f t="shared" si="7"/>
        <v>-4.4097754531517716E-3</v>
      </c>
      <c r="E183" t="s">
        <v>578</v>
      </c>
      <c r="F183" s="95">
        <f t="shared" si="8"/>
        <v>1.0181818181818183E-2</v>
      </c>
      <c r="G183" s="136">
        <f t="shared" si="6"/>
        <v>192.34154929577466</v>
      </c>
      <c r="H183" s="187">
        <v>11089</v>
      </c>
      <c r="I183" s="89">
        <v>11360</v>
      </c>
      <c r="J183" s="89">
        <v>1770</v>
      </c>
      <c r="K183" s="89">
        <v>1720</v>
      </c>
      <c r="L183" s="89">
        <v>1685</v>
      </c>
      <c r="M183" s="89">
        <v>1700</v>
      </c>
      <c r="N183" s="89">
        <v>2185000</v>
      </c>
      <c r="O183" s="113" t="s">
        <v>346</v>
      </c>
      <c r="P183" s="256">
        <v>11089</v>
      </c>
      <c r="Q183" s="258">
        <v>10.9</v>
      </c>
      <c r="R183" s="258">
        <v>10.9</v>
      </c>
      <c r="S183" s="258">
        <v>10.9</v>
      </c>
      <c r="T183" s="258">
        <v>10.9</v>
      </c>
      <c r="U183" s="258">
        <v>10.8</v>
      </c>
      <c r="V183" s="258">
        <v>10.7</v>
      </c>
      <c r="W183" s="258">
        <v>10.6</v>
      </c>
      <c r="X183" s="258">
        <v>10.6</v>
      </c>
      <c r="Y183" s="258">
        <v>10.6</v>
      </c>
      <c r="Z183" s="258">
        <v>10.6</v>
      </c>
    </row>
    <row r="184" spans="1:26" ht="13.15" x14ac:dyDescent="0.25">
      <c r="A184" t="s">
        <v>698</v>
      </c>
      <c r="C184" s="139" t="s">
        <v>184</v>
      </c>
      <c r="D184" s="95">
        <f t="shared" si="7"/>
        <v>-1.2421095499898188E-3</v>
      </c>
      <c r="E184" t="s">
        <v>173</v>
      </c>
      <c r="F184" s="95">
        <f t="shared" si="8"/>
        <v>2.1428571428571429E-2</v>
      </c>
      <c r="G184" s="136">
        <f t="shared" si="6"/>
        <v>4736.2716391842605</v>
      </c>
      <c r="H184" s="187">
        <v>19644</v>
      </c>
      <c r="I184" s="89">
        <v>19467</v>
      </c>
      <c r="J184" s="89">
        <v>1655</v>
      </c>
      <c r="K184" s="89">
        <v>1575</v>
      </c>
      <c r="L184" s="89">
        <v>1550</v>
      </c>
      <c r="M184" s="89">
        <v>1520</v>
      </c>
      <c r="N184" s="89">
        <v>92201000</v>
      </c>
      <c r="O184" s="113" t="s">
        <v>184</v>
      </c>
      <c r="P184" s="256">
        <v>19644</v>
      </c>
      <c r="Q184" s="258">
        <v>19.7</v>
      </c>
      <c r="R184" s="258">
        <v>19.8</v>
      </c>
      <c r="S184" s="258">
        <v>19.8</v>
      </c>
      <c r="T184" s="258">
        <v>19.7</v>
      </c>
      <c r="U184" s="258">
        <v>19.7</v>
      </c>
      <c r="V184" s="258">
        <v>19.7</v>
      </c>
      <c r="W184" s="258">
        <v>19.600000000000001</v>
      </c>
      <c r="X184" s="258">
        <v>19.5</v>
      </c>
      <c r="Y184" s="258">
        <v>19.5</v>
      </c>
      <c r="Z184" s="258">
        <v>19.399999999999999</v>
      </c>
    </row>
    <row r="185" spans="1:26" ht="13.15" x14ac:dyDescent="0.25">
      <c r="A185" t="s">
        <v>694</v>
      </c>
      <c r="C185" s="139" t="s">
        <v>388</v>
      </c>
      <c r="D185" s="95">
        <f t="shared" si="7"/>
        <v>4.7596268835206892E-3</v>
      </c>
      <c r="E185" t="s">
        <v>544</v>
      </c>
      <c r="F185" s="95">
        <f t="shared" si="8"/>
        <v>2.5043177892918825E-2</v>
      </c>
      <c r="G185" s="136">
        <f t="shared" si="6"/>
        <v>1506.8234610917539</v>
      </c>
      <c r="H185" s="187">
        <v>20905</v>
      </c>
      <c r="I185" s="89">
        <v>20664</v>
      </c>
      <c r="J185" s="89">
        <v>1535</v>
      </c>
      <c r="K185" s="89">
        <v>1455</v>
      </c>
      <c r="L185" s="89">
        <v>1410</v>
      </c>
      <c r="M185" s="89">
        <v>1390</v>
      </c>
      <c r="N185" s="89">
        <v>31137000</v>
      </c>
      <c r="O185" s="113" t="s">
        <v>388</v>
      </c>
      <c r="P185" s="256">
        <v>20905</v>
      </c>
      <c r="Q185" s="258">
        <v>20.8</v>
      </c>
      <c r="R185" s="258">
        <v>20.9</v>
      </c>
      <c r="S185" s="258">
        <v>21</v>
      </c>
      <c r="T185" s="258">
        <v>21.2</v>
      </c>
      <c r="U185" s="258">
        <v>21.3</v>
      </c>
      <c r="V185" s="258">
        <v>21.5</v>
      </c>
      <c r="W185" s="258">
        <v>21.6</v>
      </c>
      <c r="X185" s="258">
        <v>21.7</v>
      </c>
      <c r="Y185" s="258">
        <v>21.7</v>
      </c>
      <c r="Z185" s="258">
        <v>21.9</v>
      </c>
    </row>
    <row r="186" spans="1:26" s="137" customFormat="1" ht="13.15" x14ac:dyDescent="0.25">
      <c r="A186" s="137" t="s">
        <v>693</v>
      </c>
      <c r="C186" s="139" t="s">
        <v>205</v>
      </c>
      <c r="D186" s="95">
        <f t="shared" si="7"/>
        <v>6.2704145006210613E-3</v>
      </c>
      <c r="E186" t="s">
        <v>544</v>
      </c>
      <c r="F186" s="95">
        <f t="shared" si="8"/>
        <v>2.4514642974662718E-2</v>
      </c>
      <c r="G186" s="136">
        <f t="shared" si="6"/>
        <v>2826.3718075558904</v>
      </c>
      <c r="H186" s="187">
        <v>108685</v>
      </c>
      <c r="I186" s="137">
        <v>107672</v>
      </c>
      <c r="J186" s="137">
        <v>8000</v>
      </c>
      <c r="K186" s="114">
        <v>7745</v>
      </c>
      <c r="L186" s="89">
        <v>7390</v>
      </c>
      <c r="M186" s="114">
        <v>7255</v>
      </c>
      <c r="N186" s="114">
        <v>304321105.26315784</v>
      </c>
      <c r="O186" s="116" t="s">
        <v>205</v>
      </c>
      <c r="P186" s="256">
        <v>108685</v>
      </c>
      <c r="Q186" s="258">
        <v>109.3</v>
      </c>
      <c r="R186" s="258">
        <v>110.1</v>
      </c>
      <c r="S186" s="258">
        <v>110.9</v>
      </c>
      <c r="T186" s="258">
        <v>111.6</v>
      </c>
      <c r="U186" s="258">
        <v>112.4</v>
      </c>
      <c r="V186" s="258">
        <v>113.1</v>
      </c>
      <c r="W186" s="258">
        <v>113.7</v>
      </c>
      <c r="X186" s="258">
        <v>114.4</v>
      </c>
      <c r="Y186" s="258">
        <v>114.9</v>
      </c>
      <c r="Z186" s="258">
        <v>115.5</v>
      </c>
    </row>
    <row r="187" spans="1:26" ht="13.15" x14ac:dyDescent="0.25">
      <c r="A187" t="s">
        <v>693</v>
      </c>
      <c r="C187" s="139" t="s">
        <v>206</v>
      </c>
      <c r="D187" s="95">
        <f t="shared" si="7"/>
        <v>-2.0286986640277089E-3</v>
      </c>
      <c r="E187" t="s">
        <v>173</v>
      </c>
      <c r="F187" s="95">
        <f t="shared" si="8"/>
        <v>3.6398467432950193E-2</v>
      </c>
      <c r="G187" s="136">
        <f t="shared" si="6"/>
        <v>399.53542392566783</v>
      </c>
      <c r="H187" s="187">
        <v>10105</v>
      </c>
      <c r="I187" s="89">
        <v>10332</v>
      </c>
      <c r="J187" s="89">
        <v>705</v>
      </c>
      <c r="K187" s="89">
        <v>660</v>
      </c>
      <c r="L187" s="89">
        <v>635</v>
      </c>
      <c r="M187" s="89">
        <v>610</v>
      </c>
      <c r="N187" s="89">
        <v>4128000</v>
      </c>
      <c r="O187" s="113" t="s">
        <v>206</v>
      </c>
      <c r="P187" s="257">
        <v>10105</v>
      </c>
      <c r="Q187" s="258">
        <v>10.199999999999999</v>
      </c>
      <c r="R187" s="258">
        <v>10.199999999999999</v>
      </c>
      <c r="S187" s="258">
        <v>10.1</v>
      </c>
      <c r="T187" s="258">
        <v>10.1</v>
      </c>
      <c r="U187" s="258">
        <v>10.1</v>
      </c>
      <c r="V187" s="258">
        <v>10</v>
      </c>
      <c r="W187" s="258">
        <v>10</v>
      </c>
      <c r="X187" s="258">
        <v>10</v>
      </c>
      <c r="Y187" s="258">
        <v>9.9</v>
      </c>
      <c r="Z187" s="258">
        <v>9.9</v>
      </c>
    </row>
    <row r="188" spans="1:26" ht="13.15" x14ac:dyDescent="0.25">
      <c r="A188" t="s">
        <v>694</v>
      </c>
      <c r="C188" s="139" t="s">
        <v>389</v>
      </c>
      <c r="D188" s="95">
        <f t="shared" si="7"/>
        <v>8.1194647359234592E-3</v>
      </c>
      <c r="E188" t="s">
        <v>544</v>
      </c>
      <c r="F188" s="95">
        <f t="shared" si="8"/>
        <v>2.3551509897413669E-2</v>
      </c>
      <c r="G188" s="136">
        <f t="shared" si="6"/>
        <v>764.06339475191157</v>
      </c>
      <c r="H188" s="187">
        <v>123752</v>
      </c>
      <c r="I188" s="89">
        <v>118748</v>
      </c>
      <c r="J188" s="89">
        <v>9105</v>
      </c>
      <c r="K188" s="89">
        <v>8775</v>
      </c>
      <c r="L188" s="89">
        <v>8435</v>
      </c>
      <c r="M188" s="89">
        <v>8290</v>
      </c>
      <c r="N188" s="89">
        <v>90731000</v>
      </c>
      <c r="O188" s="113" t="s">
        <v>389</v>
      </c>
      <c r="P188" s="256">
        <v>123752</v>
      </c>
      <c r="Q188" s="258">
        <v>124.1</v>
      </c>
      <c r="R188" s="258">
        <v>125.7</v>
      </c>
      <c r="S188" s="258">
        <v>126.9</v>
      </c>
      <c r="T188" s="258">
        <v>128</v>
      </c>
      <c r="U188" s="258">
        <v>129</v>
      </c>
      <c r="V188" s="258">
        <v>130</v>
      </c>
      <c r="W188" s="258">
        <v>131.1</v>
      </c>
      <c r="X188" s="258">
        <v>132</v>
      </c>
      <c r="Y188" s="258">
        <v>133</v>
      </c>
      <c r="Z188" s="258">
        <v>133.80000000000001</v>
      </c>
    </row>
    <row r="189" spans="1:26" ht="13.15" x14ac:dyDescent="0.25">
      <c r="A189" t="s">
        <v>694</v>
      </c>
      <c r="C189" s="139" t="s">
        <v>390</v>
      </c>
      <c r="D189" s="95">
        <f t="shared" si="7"/>
        <v>8.3711157801614512E-3</v>
      </c>
      <c r="E189" t="s">
        <v>578</v>
      </c>
      <c r="F189" s="95">
        <f t="shared" si="8"/>
        <v>2.9186935371785964E-2</v>
      </c>
      <c r="G189" s="136">
        <f t="shared" si="6"/>
        <v>446.45398037894108</v>
      </c>
      <c r="H189" s="187">
        <v>27129</v>
      </c>
      <c r="I189" s="89">
        <v>26706</v>
      </c>
      <c r="J189" s="89">
        <v>1915</v>
      </c>
      <c r="K189" s="89">
        <v>1820</v>
      </c>
      <c r="L189" s="89">
        <v>1755</v>
      </c>
      <c r="M189" s="89">
        <v>1705</v>
      </c>
      <c r="N189" s="89">
        <v>11923000</v>
      </c>
      <c r="O189" s="113" t="s">
        <v>390</v>
      </c>
      <c r="P189" s="256">
        <v>27129</v>
      </c>
      <c r="Q189" s="258">
        <v>27.8</v>
      </c>
      <c r="R189" s="258">
        <v>28.2</v>
      </c>
      <c r="S189" s="258">
        <v>28.4</v>
      </c>
      <c r="T189" s="258">
        <v>28.6</v>
      </c>
      <c r="U189" s="258">
        <v>28.8</v>
      </c>
      <c r="V189" s="258">
        <v>29</v>
      </c>
      <c r="W189" s="258">
        <v>29.1</v>
      </c>
      <c r="X189" s="258">
        <v>29.2</v>
      </c>
      <c r="Y189" s="258">
        <v>29.3</v>
      </c>
      <c r="Z189" s="258">
        <v>29.4</v>
      </c>
    </row>
    <row r="190" spans="1:26" ht="13.15" x14ac:dyDescent="0.25">
      <c r="A190" t="s">
        <v>694</v>
      </c>
      <c r="C190" s="139" t="s">
        <v>391</v>
      </c>
      <c r="D190" s="95">
        <f t="shared" si="7"/>
        <v>7.0930731288869836E-3</v>
      </c>
      <c r="E190" t="s">
        <v>173</v>
      </c>
      <c r="F190" s="95">
        <f t="shared" si="8"/>
        <v>2.7592768791627021E-2</v>
      </c>
      <c r="G190" s="136">
        <f t="shared" si="6"/>
        <v>315.64118500103586</v>
      </c>
      <c r="H190" s="187">
        <v>74608</v>
      </c>
      <c r="I190" s="89">
        <v>72405</v>
      </c>
      <c r="J190" s="89">
        <v>5600</v>
      </c>
      <c r="K190" s="89">
        <v>5325</v>
      </c>
      <c r="L190" s="89">
        <v>5075</v>
      </c>
      <c r="M190" s="89">
        <v>5020</v>
      </c>
      <c r="N190" s="89">
        <v>22854000</v>
      </c>
      <c r="O190" s="113" t="s">
        <v>391</v>
      </c>
      <c r="P190" s="256">
        <v>74608</v>
      </c>
      <c r="Q190" s="258">
        <v>75</v>
      </c>
      <c r="R190" s="258">
        <v>75.7</v>
      </c>
      <c r="S190" s="258">
        <v>76.2</v>
      </c>
      <c r="T190" s="258">
        <v>76.7</v>
      </c>
      <c r="U190" s="258">
        <v>77.2</v>
      </c>
      <c r="V190" s="258">
        <v>77.7</v>
      </c>
      <c r="W190" s="258">
        <v>78.2</v>
      </c>
      <c r="X190" s="258">
        <v>78.8</v>
      </c>
      <c r="Y190" s="258">
        <v>79.400000000000006</v>
      </c>
      <c r="Z190" s="258">
        <v>79.900000000000006</v>
      </c>
    </row>
    <row r="191" spans="1:26" ht="13.15" x14ac:dyDescent="0.25">
      <c r="A191" t="s">
        <v>696</v>
      </c>
      <c r="C191" s="139" t="s">
        <v>531</v>
      </c>
      <c r="D191" s="95">
        <f t="shared" si="7"/>
        <v>3.6767571781213459E-3</v>
      </c>
      <c r="E191" t="s">
        <v>544</v>
      </c>
      <c r="F191" s="95">
        <f t="shared" si="8"/>
        <v>1.9951764963823723E-2</v>
      </c>
      <c r="G191" s="136">
        <f t="shared" si="6"/>
        <v>2162.6301253452307</v>
      </c>
      <c r="H191" s="187">
        <v>76970</v>
      </c>
      <c r="I191" s="89">
        <v>75312</v>
      </c>
      <c r="J191" s="89">
        <v>5980</v>
      </c>
      <c r="K191" s="89">
        <v>5765</v>
      </c>
      <c r="L191" s="89">
        <v>5535</v>
      </c>
      <c r="M191" s="89">
        <v>5525</v>
      </c>
      <c r="N191" s="89">
        <v>162872000</v>
      </c>
      <c r="O191" s="113" t="s">
        <v>531</v>
      </c>
      <c r="P191" s="256">
        <v>76970</v>
      </c>
      <c r="Q191" s="258">
        <v>77.2</v>
      </c>
      <c r="R191" s="258">
        <v>77.7</v>
      </c>
      <c r="S191" s="258">
        <v>78.2</v>
      </c>
      <c r="T191" s="258">
        <v>78.7</v>
      </c>
      <c r="U191" s="258">
        <v>79.099999999999994</v>
      </c>
      <c r="V191" s="258">
        <v>79.5</v>
      </c>
      <c r="W191" s="258">
        <v>79.7</v>
      </c>
      <c r="X191" s="258">
        <v>79.8</v>
      </c>
      <c r="Y191" s="258">
        <v>79.8</v>
      </c>
      <c r="Z191" s="258">
        <v>79.8</v>
      </c>
    </row>
    <row r="192" spans="1:26" ht="13.15" x14ac:dyDescent="0.25">
      <c r="A192" t="s">
        <v>699</v>
      </c>
      <c r="C192" s="139" t="s">
        <v>508</v>
      </c>
      <c r="D192" s="95">
        <f t="shared" si="7"/>
        <v>-2.2474726376472557E-3</v>
      </c>
      <c r="E192" t="s">
        <v>578</v>
      </c>
      <c r="F192" s="95">
        <f t="shared" si="8"/>
        <v>1.3362068965517242E-2</v>
      </c>
      <c r="G192" s="136">
        <f t="shared" si="6"/>
        <v>747.38083484175309</v>
      </c>
      <c r="H192" s="187">
        <v>35907</v>
      </c>
      <c r="I192" s="89">
        <v>36462</v>
      </c>
      <c r="J192" s="89">
        <v>2975</v>
      </c>
      <c r="K192" s="89">
        <v>2920</v>
      </c>
      <c r="L192" s="89">
        <v>2885</v>
      </c>
      <c r="M192" s="89">
        <v>2820</v>
      </c>
      <c r="N192" s="89">
        <v>27251000</v>
      </c>
      <c r="O192" s="113" t="s">
        <v>508</v>
      </c>
      <c r="P192" s="256">
        <v>35907</v>
      </c>
      <c r="Q192" s="258">
        <v>36.200000000000003</v>
      </c>
      <c r="R192" s="258">
        <v>36.200000000000003</v>
      </c>
      <c r="S192" s="258">
        <v>36.1</v>
      </c>
      <c r="T192" s="258">
        <v>36</v>
      </c>
      <c r="U192" s="258">
        <v>35.799999999999997</v>
      </c>
      <c r="V192" s="258">
        <v>35.6</v>
      </c>
      <c r="W192" s="258">
        <v>35.4</v>
      </c>
      <c r="X192" s="258">
        <v>35.200000000000003</v>
      </c>
      <c r="Y192" s="258">
        <v>35.1</v>
      </c>
      <c r="Z192" s="258">
        <v>35.1</v>
      </c>
    </row>
    <row r="193" spans="1:26" ht="13.15" x14ac:dyDescent="0.25">
      <c r="A193" t="s">
        <v>697</v>
      </c>
      <c r="C193" s="139" t="s">
        <v>303</v>
      </c>
      <c r="D193" s="95">
        <f t="shared" si="7"/>
        <v>1.7725955381815732E-3</v>
      </c>
      <c r="E193" t="s">
        <v>578</v>
      </c>
      <c r="F193" s="95">
        <f t="shared" si="8"/>
        <v>2.3333333333333334E-2</v>
      </c>
      <c r="G193" s="136">
        <f t="shared" si="6"/>
        <v>-1605.9505275903823</v>
      </c>
      <c r="H193" s="187">
        <v>29674</v>
      </c>
      <c r="I193" s="89">
        <v>28905</v>
      </c>
      <c r="J193" s="89">
        <v>2770</v>
      </c>
      <c r="K193" s="89">
        <v>2655</v>
      </c>
      <c r="L193" s="89">
        <v>2550</v>
      </c>
      <c r="M193" s="89">
        <v>2525</v>
      </c>
      <c r="N193" s="89">
        <v>-46420000</v>
      </c>
      <c r="O193" s="113" t="s">
        <v>303</v>
      </c>
      <c r="P193" s="256">
        <v>29674</v>
      </c>
      <c r="Q193" s="258">
        <v>29.3</v>
      </c>
      <c r="R193" s="258">
        <v>29.5</v>
      </c>
      <c r="S193" s="258">
        <v>29.6</v>
      </c>
      <c r="T193" s="258">
        <v>29.7</v>
      </c>
      <c r="U193" s="258">
        <v>29.8</v>
      </c>
      <c r="V193" s="258">
        <v>29.9</v>
      </c>
      <c r="W193" s="258">
        <v>29.9</v>
      </c>
      <c r="X193" s="258">
        <v>30</v>
      </c>
      <c r="Y193" s="258">
        <v>30.1</v>
      </c>
      <c r="Z193" s="258">
        <v>30.2</v>
      </c>
    </row>
    <row r="194" spans="1:26" ht="13.15" x14ac:dyDescent="0.25">
      <c r="A194" t="s">
        <v>692</v>
      </c>
      <c r="C194" s="139" t="s">
        <v>264</v>
      </c>
      <c r="D194" s="95">
        <f t="shared" si="7"/>
        <v>7.488355428161949E-3</v>
      </c>
      <c r="E194" t="s">
        <v>578</v>
      </c>
      <c r="F194" s="95">
        <f t="shared" si="8"/>
        <v>2.2249690976514216E-2</v>
      </c>
      <c r="G194" s="136">
        <f t="shared" ref="G194:G258" si="9">N194/I194</f>
        <v>1084.8095456631481</v>
      </c>
      <c r="H194" s="187">
        <v>11164</v>
      </c>
      <c r="I194" s="89">
        <v>10895</v>
      </c>
      <c r="J194" s="89">
        <v>1060</v>
      </c>
      <c r="K194" s="89">
        <v>1025</v>
      </c>
      <c r="L194" s="89">
        <v>990</v>
      </c>
      <c r="M194" s="89">
        <v>970</v>
      </c>
      <c r="N194" s="89">
        <v>11819000</v>
      </c>
      <c r="O194" s="113" t="s">
        <v>264</v>
      </c>
      <c r="P194" s="256">
        <v>11164</v>
      </c>
      <c r="Q194" s="258">
        <v>11.4</v>
      </c>
      <c r="R194" s="258">
        <v>11.5</v>
      </c>
      <c r="S194" s="258">
        <v>11.6</v>
      </c>
      <c r="T194" s="258">
        <v>11.7</v>
      </c>
      <c r="U194" s="258">
        <v>11.8</v>
      </c>
      <c r="V194" s="258">
        <v>11.8</v>
      </c>
      <c r="W194" s="258">
        <v>11.9</v>
      </c>
      <c r="X194" s="258">
        <v>12</v>
      </c>
      <c r="Y194" s="258">
        <v>12</v>
      </c>
      <c r="Z194" s="258">
        <v>12</v>
      </c>
    </row>
    <row r="195" spans="1:26" ht="13.15" x14ac:dyDescent="0.25">
      <c r="A195" t="s">
        <v>692</v>
      </c>
      <c r="C195" s="139" t="s">
        <v>265</v>
      </c>
      <c r="D195" s="95">
        <f t="shared" ref="D195:D259" si="10">(SUM(Z195*1000,-P195)/10)/P195</f>
        <v>-1.5810105472895415E-4</v>
      </c>
      <c r="E195" t="s">
        <v>578</v>
      </c>
      <c r="F195" s="95">
        <f t="shared" si="8"/>
        <v>1.6942626107046593E-2</v>
      </c>
      <c r="G195" s="136">
        <f t="shared" si="9"/>
        <v>1429.3205156215861</v>
      </c>
      <c r="H195" s="187">
        <v>46173</v>
      </c>
      <c r="I195" s="89">
        <v>45770</v>
      </c>
      <c r="J195" s="89">
        <v>3370</v>
      </c>
      <c r="K195" s="89">
        <v>3270</v>
      </c>
      <c r="L195" s="89">
        <v>3195</v>
      </c>
      <c r="M195" s="89">
        <v>3150</v>
      </c>
      <c r="N195" s="89">
        <v>65420000</v>
      </c>
      <c r="O195" s="113" t="s">
        <v>265</v>
      </c>
      <c r="P195" s="256">
        <v>46173</v>
      </c>
      <c r="Q195" s="258">
        <v>46</v>
      </c>
      <c r="R195" s="258">
        <v>46.1</v>
      </c>
      <c r="S195" s="258">
        <v>46.1</v>
      </c>
      <c r="T195" s="258">
        <v>46.1</v>
      </c>
      <c r="U195" s="258">
        <v>46.3</v>
      </c>
      <c r="V195" s="258">
        <v>46.2</v>
      </c>
      <c r="W195" s="258">
        <v>46.2</v>
      </c>
      <c r="X195" s="258">
        <v>46.1</v>
      </c>
      <c r="Y195" s="258">
        <v>46.1</v>
      </c>
      <c r="Z195" s="258">
        <v>46.1</v>
      </c>
    </row>
    <row r="196" spans="1:26" ht="13.15" x14ac:dyDescent="0.25">
      <c r="A196" t="s">
        <v>691</v>
      </c>
      <c r="C196" s="139" t="s">
        <v>392</v>
      </c>
      <c r="D196" s="95">
        <f t="shared" si="10"/>
        <v>6.1066349667591238E-3</v>
      </c>
      <c r="E196" t="s">
        <v>578</v>
      </c>
      <c r="F196" s="95">
        <f t="shared" si="8"/>
        <v>1.8396846254927726E-2</v>
      </c>
      <c r="G196" s="136">
        <f t="shared" si="9"/>
        <v>-364.44404957576296</v>
      </c>
      <c r="H196" s="187">
        <v>22713</v>
      </c>
      <c r="I196" s="89">
        <v>22511</v>
      </c>
      <c r="J196" s="89">
        <v>1975</v>
      </c>
      <c r="K196" s="89">
        <v>1940</v>
      </c>
      <c r="L196" s="89">
        <v>1860</v>
      </c>
      <c r="M196" s="89">
        <v>1835</v>
      </c>
      <c r="N196" s="89">
        <v>-8204000</v>
      </c>
      <c r="O196" s="113" t="s">
        <v>392</v>
      </c>
      <c r="P196" s="256">
        <v>22713</v>
      </c>
      <c r="Q196" s="258">
        <v>22.7</v>
      </c>
      <c r="R196" s="258">
        <v>22.8</v>
      </c>
      <c r="S196" s="258">
        <v>23.1</v>
      </c>
      <c r="T196" s="258">
        <v>23.4</v>
      </c>
      <c r="U196" s="258">
        <v>23.6</v>
      </c>
      <c r="V196" s="258">
        <v>23.7</v>
      </c>
      <c r="W196" s="258">
        <v>23.9</v>
      </c>
      <c r="X196" s="258">
        <v>24</v>
      </c>
      <c r="Y196" s="258">
        <v>24</v>
      </c>
      <c r="Z196" s="258">
        <v>24.1</v>
      </c>
    </row>
    <row r="197" spans="1:26" ht="13.15" x14ac:dyDescent="0.25">
      <c r="A197" t="s">
        <v>693</v>
      </c>
      <c r="C197" s="139" t="s">
        <v>207</v>
      </c>
      <c r="D197" s="95">
        <f t="shared" si="10"/>
        <v>2.4208566108007449E-3</v>
      </c>
      <c r="E197" t="s">
        <v>578</v>
      </c>
      <c r="F197" s="95">
        <f t="shared" ref="F197:F261" si="11">SUM(J197,-M197)/SUM(J197,K197,L197,M197)</f>
        <v>1.8433179723502304E-2</v>
      </c>
      <c r="G197" s="136">
        <f t="shared" si="9"/>
        <v>1361.0983981693364</v>
      </c>
      <c r="H197" s="187">
        <v>10740</v>
      </c>
      <c r="I197" s="89">
        <v>10925</v>
      </c>
      <c r="J197" s="89">
        <v>1130</v>
      </c>
      <c r="K197" s="89">
        <v>1095</v>
      </c>
      <c r="L197" s="89">
        <v>1065</v>
      </c>
      <c r="M197" s="89">
        <v>1050</v>
      </c>
      <c r="N197" s="89">
        <v>14870000</v>
      </c>
      <c r="O197" s="113" t="s">
        <v>207</v>
      </c>
      <c r="P197" s="256">
        <v>10740</v>
      </c>
      <c r="Q197" s="258">
        <v>10.9</v>
      </c>
      <c r="R197" s="258">
        <v>11</v>
      </c>
      <c r="S197" s="258">
        <v>11</v>
      </c>
      <c r="T197" s="258">
        <v>11</v>
      </c>
      <c r="U197" s="258">
        <v>11</v>
      </c>
      <c r="V197" s="258">
        <v>11</v>
      </c>
      <c r="W197" s="258">
        <v>11</v>
      </c>
      <c r="X197" s="258">
        <v>11</v>
      </c>
      <c r="Y197" s="258">
        <v>11</v>
      </c>
      <c r="Z197" s="258">
        <v>11</v>
      </c>
    </row>
    <row r="198" spans="1:26" ht="13.15" x14ac:dyDescent="0.25">
      <c r="A198" t="s">
        <v>692</v>
      </c>
      <c r="C198" s="139" t="s">
        <v>266</v>
      </c>
      <c r="D198" s="95">
        <f t="shared" si="10"/>
        <v>-4.2631845690606091E-4</v>
      </c>
      <c r="E198" t="s">
        <v>578</v>
      </c>
      <c r="F198" s="95">
        <f t="shared" si="11"/>
        <v>2.1926389976507438E-2</v>
      </c>
      <c r="G198" s="136">
        <f t="shared" si="9"/>
        <v>-106.1539849081562</v>
      </c>
      <c r="H198" s="187">
        <v>33543</v>
      </c>
      <c r="I198" s="89">
        <v>33263</v>
      </c>
      <c r="J198" s="89">
        <v>3345</v>
      </c>
      <c r="K198" s="89">
        <v>3235</v>
      </c>
      <c r="L198" s="89">
        <v>3125</v>
      </c>
      <c r="M198" s="89">
        <v>3065</v>
      </c>
      <c r="N198" s="89">
        <v>-3531000</v>
      </c>
      <c r="O198" s="113" t="s">
        <v>266</v>
      </c>
      <c r="P198" s="256">
        <v>33543</v>
      </c>
      <c r="Q198" s="258">
        <v>33.4</v>
      </c>
      <c r="R198" s="258">
        <v>33.4</v>
      </c>
      <c r="S198" s="258">
        <v>33.5</v>
      </c>
      <c r="T198" s="258">
        <v>33.5</v>
      </c>
      <c r="U198" s="258">
        <v>33.5</v>
      </c>
      <c r="V198" s="258">
        <v>33.5</v>
      </c>
      <c r="W198" s="258">
        <v>33.5</v>
      </c>
      <c r="X198" s="258">
        <v>33.5</v>
      </c>
      <c r="Y198" s="258">
        <v>33.4</v>
      </c>
      <c r="Z198" s="258">
        <v>33.4</v>
      </c>
    </row>
    <row r="199" spans="1:26" ht="13.15" x14ac:dyDescent="0.25">
      <c r="A199" t="s">
        <v>690</v>
      </c>
      <c r="C199" s="139" t="s">
        <v>469</v>
      </c>
      <c r="D199" s="95">
        <f t="shared" si="10"/>
        <v>1.3206321714656852E-3</v>
      </c>
      <c r="E199" t="s">
        <v>578</v>
      </c>
      <c r="F199" s="95">
        <f t="shared" si="11"/>
        <v>1.4075495841330775E-2</v>
      </c>
      <c r="G199" s="136">
        <f t="shared" si="9"/>
        <v>359.28221576871397</v>
      </c>
      <c r="H199" s="187">
        <v>23095</v>
      </c>
      <c r="I199" s="89">
        <v>23071</v>
      </c>
      <c r="J199" s="89">
        <v>2015</v>
      </c>
      <c r="K199" s="89">
        <v>1975</v>
      </c>
      <c r="L199" s="89">
        <v>1920</v>
      </c>
      <c r="M199" s="89">
        <v>1905</v>
      </c>
      <c r="N199" s="89">
        <v>8289000</v>
      </c>
      <c r="O199" s="113" t="s">
        <v>469</v>
      </c>
      <c r="P199" s="256">
        <v>23095</v>
      </c>
      <c r="Q199" s="258">
        <v>23.1</v>
      </c>
      <c r="R199" s="258">
        <v>23.2</v>
      </c>
      <c r="S199" s="258">
        <v>23.3</v>
      </c>
      <c r="T199" s="258">
        <v>23.4</v>
      </c>
      <c r="U199" s="258">
        <v>23.4</v>
      </c>
      <c r="V199" s="258">
        <v>23.5</v>
      </c>
      <c r="W199" s="258">
        <v>23.4</v>
      </c>
      <c r="X199" s="258">
        <v>23.4</v>
      </c>
      <c r="Y199" s="258">
        <v>23.4</v>
      </c>
      <c r="Z199" s="258">
        <v>23.4</v>
      </c>
    </row>
    <row r="200" spans="1:26" ht="13.15" x14ac:dyDescent="0.25">
      <c r="A200" t="s">
        <v>692</v>
      </c>
      <c r="C200" s="139" t="s">
        <v>304</v>
      </c>
      <c r="D200" s="95">
        <f t="shared" si="10"/>
        <v>-3.5686633349757166E-3</v>
      </c>
      <c r="E200" t="s">
        <v>578</v>
      </c>
      <c r="F200" s="95">
        <f t="shared" si="11"/>
        <v>1.9247594050743656E-2</v>
      </c>
      <c r="G200" s="136">
        <f t="shared" si="9"/>
        <v>-428.11387900355874</v>
      </c>
      <c r="H200" s="187">
        <v>14207</v>
      </c>
      <c r="I200" s="89">
        <v>14050</v>
      </c>
      <c r="J200" s="89">
        <v>1495</v>
      </c>
      <c r="K200" s="89">
        <v>1440</v>
      </c>
      <c r="L200" s="89">
        <v>1395</v>
      </c>
      <c r="M200" s="89">
        <v>1385</v>
      </c>
      <c r="N200" s="89">
        <v>-6015000</v>
      </c>
      <c r="O200" s="113" t="s">
        <v>304</v>
      </c>
      <c r="P200" s="256">
        <v>14207</v>
      </c>
      <c r="Q200" s="258">
        <v>14.3</v>
      </c>
      <c r="R200" s="258">
        <v>14.3</v>
      </c>
      <c r="S200" s="258">
        <v>14.3</v>
      </c>
      <c r="T200" s="258">
        <v>14.3</v>
      </c>
      <c r="U200" s="258">
        <v>14.3</v>
      </c>
      <c r="V200" s="258">
        <v>14.2</v>
      </c>
      <c r="W200" s="258">
        <v>14.1</v>
      </c>
      <c r="X200" s="258">
        <v>14</v>
      </c>
      <c r="Y200" s="258">
        <v>13.8</v>
      </c>
      <c r="Z200" s="258">
        <v>13.7</v>
      </c>
    </row>
    <row r="201" spans="1:26" ht="13.15" x14ac:dyDescent="0.25">
      <c r="A201" t="s">
        <v>698</v>
      </c>
      <c r="C201" s="139" t="s">
        <v>185</v>
      </c>
      <c r="D201" s="95">
        <f t="shared" si="10"/>
        <v>2.8744326777609681E-3</v>
      </c>
      <c r="E201" t="s">
        <v>578</v>
      </c>
      <c r="F201" s="95">
        <f t="shared" si="11"/>
        <v>0</v>
      </c>
      <c r="G201" s="136">
        <f t="shared" si="9"/>
        <v>679.14335327030676</v>
      </c>
      <c r="H201" s="187">
        <v>9915</v>
      </c>
      <c r="I201" s="89">
        <v>10366</v>
      </c>
      <c r="J201" s="89">
        <v>850</v>
      </c>
      <c r="K201" s="89">
        <v>825</v>
      </c>
      <c r="L201" s="89">
        <v>835</v>
      </c>
      <c r="M201" s="89">
        <v>850</v>
      </c>
      <c r="N201" s="89">
        <v>7040000</v>
      </c>
      <c r="O201" s="113" t="s">
        <v>185</v>
      </c>
      <c r="P201" s="256">
        <v>9915</v>
      </c>
      <c r="Q201" s="258">
        <v>10.1</v>
      </c>
      <c r="R201" s="258">
        <v>10.1</v>
      </c>
      <c r="S201" s="258">
        <v>10.199999999999999</v>
      </c>
      <c r="T201" s="258">
        <v>10.1</v>
      </c>
      <c r="U201" s="258">
        <v>10.199999999999999</v>
      </c>
      <c r="V201" s="258">
        <v>10.199999999999999</v>
      </c>
      <c r="W201" s="258">
        <v>10.199999999999999</v>
      </c>
      <c r="X201" s="258">
        <v>10.199999999999999</v>
      </c>
      <c r="Y201" s="258">
        <v>10.199999999999999</v>
      </c>
      <c r="Z201" s="258">
        <v>10.199999999999999</v>
      </c>
    </row>
    <row r="202" spans="1:26" ht="13.15" x14ac:dyDescent="0.25">
      <c r="A202" t="s">
        <v>695</v>
      </c>
      <c r="C202" s="139" t="s">
        <v>228</v>
      </c>
      <c r="D202" s="95">
        <f t="shared" si="10"/>
        <v>-3.0249110320284696E-3</v>
      </c>
      <c r="E202" t="s">
        <v>173</v>
      </c>
      <c r="F202" s="95">
        <f t="shared" si="11"/>
        <v>2.0833333333333332E-2</v>
      </c>
      <c r="G202" s="136">
        <f t="shared" si="9"/>
        <v>1219.4680897984388</v>
      </c>
      <c r="H202" s="187">
        <v>22480</v>
      </c>
      <c r="I202" s="89">
        <v>22673</v>
      </c>
      <c r="J202" s="89">
        <v>1640</v>
      </c>
      <c r="K202" s="89">
        <v>1585</v>
      </c>
      <c r="L202" s="89">
        <v>1505</v>
      </c>
      <c r="M202" s="89">
        <v>1510</v>
      </c>
      <c r="N202" s="89">
        <v>27649000</v>
      </c>
      <c r="O202" s="113" t="s">
        <v>228</v>
      </c>
      <c r="P202" s="256">
        <v>22480</v>
      </c>
      <c r="Q202" s="258">
        <v>22.4</v>
      </c>
      <c r="R202" s="258">
        <v>22.4</v>
      </c>
      <c r="S202" s="258">
        <v>22.4</v>
      </c>
      <c r="T202" s="258">
        <v>22.4</v>
      </c>
      <c r="U202" s="258">
        <v>22.3</v>
      </c>
      <c r="V202" s="258">
        <v>22.2</v>
      </c>
      <c r="W202" s="258">
        <v>22.1</v>
      </c>
      <c r="X202" s="258">
        <v>22</v>
      </c>
      <c r="Y202" s="258">
        <v>21.9</v>
      </c>
      <c r="Z202" s="258">
        <v>21.8</v>
      </c>
    </row>
    <row r="203" spans="1:26" ht="13.15" x14ac:dyDescent="0.25">
      <c r="A203" t="s">
        <v>692</v>
      </c>
      <c r="C203" s="139" t="s">
        <v>267</v>
      </c>
      <c r="D203" s="95">
        <f t="shared" si="10"/>
        <v>1.014265688133916E-3</v>
      </c>
      <c r="E203" t="s">
        <v>578</v>
      </c>
      <c r="F203" s="95">
        <f t="shared" si="11"/>
        <v>1.6450216450216451E-2</v>
      </c>
      <c r="G203" s="136">
        <f t="shared" si="9"/>
        <v>1401.7150944967113</v>
      </c>
      <c r="H203" s="187">
        <v>24254</v>
      </c>
      <c r="I203" s="89">
        <v>24022</v>
      </c>
      <c r="J203" s="89">
        <v>2995</v>
      </c>
      <c r="K203" s="89">
        <v>2925</v>
      </c>
      <c r="L203" s="89">
        <v>2825</v>
      </c>
      <c r="M203" s="89">
        <v>2805</v>
      </c>
      <c r="N203" s="89">
        <v>33672000</v>
      </c>
      <c r="O203" s="113" t="s">
        <v>267</v>
      </c>
      <c r="P203" s="256">
        <v>24254</v>
      </c>
      <c r="Q203" s="258">
        <v>24.3</v>
      </c>
      <c r="R203" s="258">
        <v>24.4</v>
      </c>
      <c r="S203" s="258">
        <v>24.4</v>
      </c>
      <c r="T203" s="258">
        <v>24.4</v>
      </c>
      <c r="U203" s="258">
        <v>24.4</v>
      </c>
      <c r="V203" s="258">
        <v>24.4</v>
      </c>
      <c r="W203" s="258">
        <v>24.4</v>
      </c>
      <c r="X203" s="258">
        <v>24.4</v>
      </c>
      <c r="Y203" s="258">
        <v>24.5</v>
      </c>
      <c r="Z203" s="258">
        <v>24.5</v>
      </c>
    </row>
    <row r="204" spans="1:26" ht="13.15" x14ac:dyDescent="0.25">
      <c r="A204" t="s">
        <v>699</v>
      </c>
      <c r="C204" s="139" t="s">
        <v>509</v>
      </c>
      <c r="D204" s="95">
        <f t="shared" si="10"/>
        <v>-4.0928784755815423E-3</v>
      </c>
      <c r="E204" t="s">
        <v>173</v>
      </c>
      <c r="F204" s="95">
        <f t="shared" si="11"/>
        <v>1.2140575079872205E-2</v>
      </c>
      <c r="G204" s="136">
        <f t="shared" si="9"/>
        <v>-1637.7671716123677</v>
      </c>
      <c r="H204" s="187">
        <v>23773</v>
      </c>
      <c r="I204" s="89">
        <v>24095</v>
      </c>
      <c r="J204" s="89">
        <v>2005</v>
      </c>
      <c r="K204" s="89">
        <v>1975</v>
      </c>
      <c r="L204" s="89">
        <v>1935</v>
      </c>
      <c r="M204" s="89">
        <v>1910</v>
      </c>
      <c r="N204" s="89">
        <v>-39462000</v>
      </c>
      <c r="O204" s="113" t="s">
        <v>509</v>
      </c>
      <c r="P204" s="256">
        <v>23773</v>
      </c>
      <c r="Q204" s="258">
        <v>23.6</v>
      </c>
      <c r="R204" s="258">
        <v>23.5</v>
      </c>
      <c r="S204" s="258">
        <v>23.5</v>
      </c>
      <c r="T204" s="258">
        <v>23.4</v>
      </c>
      <c r="U204" s="258">
        <v>23.3</v>
      </c>
      <c r="V204" s="258">
        <v>23.2</v>
      </c>
      <c r="W204" s="258">
        <v>23.1</v>
      </c>
      <c r="X204" s="258">
        <v>23</v>
      </c>
      <c r="Y204" s="258">
        <v>22.8</v>
      </c>
      <c r="Z204" s="258">
        <v>22.8</v>
      </c>
    </row>
    <row r="205" spans="1:26" ht="13.15" x14ac:dyDescent="0.25">
      <c r="A205" t="s">
        <v>694</v>
      </c>
      <c r="C205" s="139" t="s">
        <v>393</v>
      </c>
      <c r="D205" s="95">
        <f t="shared" si="10"/>
        <v>2.9497888604629657E-3</v>
      </c>
      <c r="E205" t="s">
        <v>544</v>
      </c>
      <c r="F205" s="95">
        <f t="shared" si="11"/>
        <v>2.2803487592219986E-2</v>
      </c>
      <c r="G205" s="136">
        <f t="shared" si="9"/>
        <v>1721.1215422776224</v>
      </c>
      <c r="H205" s="187">
        <v>32443</v>
      </c>
      <c r="I205" s="89">
        <v>31849</v>
      </c>
      <c r="J205" s="89">
        <v>1950</v>
      </c>
      <c r="K205" s="89">
        <v>1925</v>
      </c>
      <c r="L205" s="89">
        <v>1800</v>
      </c>
      <c r="M205" s="89">
        <v>1780</v>
      </c>
      <c r="N205" s="89">
        <v>54816000</v>
      </c>
      <c r="O205" s="113" t="s">
        <v>393</v>
      </c>
      <c r="P205" s="256">
        <v>32443</v>
      </c>
      <c r="Q205" s="258">
        <v>32.4</v>
      </c>
      <c r="R205" s="258">
        <v>32.6</v>
      </c>
      <c r="S205" s="258">
        <v>32.700000000000003</v>
      </c>
      <c r="T205" s="258">
        <v>32.700000000000003</v>
      </c>
      <c r="U205" s="258">
        <v>32.700000000000003</v>
      </c>
      <c r="V205" s="258">
        <v>32.799999999999997</v>
      </c>
      <c r="W205" s="258">
        <v>33</v>
      </c>
      <c r="X205" s="258">
        <v>33.200000000000003</v>
      </c>
      <c r="Y205" s="258">
        <v>33.299999999999997</v>
      </c>
      <c r="Z205" s="258">
        <v>33.4</v>
      </c>
    </row>
    <row r="206" spans="1:26" ht="13.15" x14ac:dyDescent="0.25">
      <c r="A206" t="s">
        <v>699</v>
      </c>
      <c r="C206" s="139" t="s">
        <v>510</v>
      </c>
      <c r="D206" s="95">
        <f t="shared" si="10"/>
        <v>3.0961416309711882E-3</v>
      </c>
      <c r="E206" t="s">
        <v>544</v>
      </c>
      <c r="F206" s="95">
        <f t="shared" si="11"/>
        <v>1.4842027920646584E-2</v>
      </c>
      <c r="G206" s="136">
        <f t="shared" si="9"/>
        <v>444.39487814952497</v>
      </c>
      <c r="H206" s="187">
        <v>122798</v>
      </c>
      <c r="I206" s="89">
        <v>121050</v>
      </c>
      <c r="J206" s="89">
        <v>8800</v>
      </c>
      <c r="K206" s="89">
        <v>8540</v>
      </c>
      <c r="L206" s="89">
        <v>8390</v>
      </c>
      <c r="M206" s="89">
        <v>8295</v>
      </c>
      <c r="N206" s="89">
        <v>53794000</v>
      </c>
      <c r="O206" s="113" t="s">
        <v>510</v>
      </c>
      <c r="P206" s="256">
        <v>122798</v>
      </c>
      <c r="Q206" s="258">
        <v>123.2</v>
      </c>
      <c r="R206" s="258">
        <v>124.1</v>
      </c>
      <c r="S206" s="258">
        <v>124.3</v>
      </c>
      <c r="T206" s="258">
        <v>124.4</v>
      </c>
      <c r="U206" s="258">
        <v>124.4</v>
      </c>
      <c r="V206" s="258">
        <v>124.6</v>
      </c>
      <c r="W206" s="258">
        <v>125</v>
      </c>
      <c r="X206" s="258">
        <v>125.5</v>
      </c>
      <c r="Y206" s="258">
        <v>126</v>
      </c>
      <c r="Z206" s="258">
        <v>126.6</v>
      </c>
    </row>
    <row r="207" spans="1:26" ht="13.15" x14ac:dyDescent="0.25">
      <c r="A207" t="s">
        <v>698</v>
      </c>
      <c r="C207" s="139" t="s">
        <v>186</v>
      </c>
      <c r="D207" s="95">
        <f t="shared" si="10"/>
        <v>-2.8285549355397343E-3</v>
      </c>
      <c r="E207" t="s">
        <v>173</v>
      </c>
      <c r="F207" s="95">
        <f t="shared" si="11"/>
        <v>3.4431137724550899E-2</v>
      </c>
      <c r="G207" s="136">
        <f t="shared" si="9"/>
        <v>1833.7654854508787</v>
      </c>
      <c r="H207" s="187">
        <v>10394</v>
      </c>
      <c r="I207" s="89">
        <v>10413</v>
      </c>
      <c r="J207" s="89">
        <v>895</v>
      </c>
      <c r="K207" s="89">
        <v>860</v>
      </c>
      <c r="L207" s="89">
        <v>805</v>
      </c>
      <c r="M207" s="89">
        <v>780</v>
      </c>
      <c r="N207" s="89">
        <v>19095000</v>
      </c>
      <c r="O207" s="113" t="s">
        <v>186</v>
      </c>
      <c r="P207" s="256">
        <v>10394</v>
      </c>
      <c r="Q207" s="258">
        <v>10.5</v>
      </c>
      <c r="R207" s="258">
        <v>10.5</v>
      </c>
      <c r="S207" s="258">
        <v>10.5</v>
      </c>
      <c r="T207" s="258">
        <v>10.5</v>
      </c>
      <c r="U207" s="258">
        <v>10.5</v>
      </c>
      <c r="V207" s="258">
        <v>10.4</v>
      </c>
      <c r="W207" s="258">
        <v>10.3</v>
      </c>
      <c r="X207" s="258">
        <v>10.3</v>
      </c>
      <c r="Y207" s="258">
        <v>10.199999999999999</v>
      </c>
      <c r="Z207" s="258">
        <v>10.1</v>
      </c>
    </row>
    <row r="208" spans="1:26" ht="13.15" x14ac:dyDescent="0.25">
      <c r="A208" t="s">
        <v>691</v>
      </c>
      <c r="C208" s="139" t="s">
        <v>347</v>
      </c>
      <c r="D208" s="95">
        <f t="shared" si="10"/>
        <v>-8.1256525489127964E-4</v>
      </c>
      <c r="E208" t="s">
        <v>578</v>
      </c>
      <c r="F208" s="95">
        <f t="shared" si="11"/>
        <v>1.5393724097098875E-2</v>
      </c>
      <c r="G208" s="136">
        <f t="shared" si="9"/>
        <v>544.03135654150333</v>
      </c>
      <c r="H208" s="187">
        <v>44058</v>
      </c>
      <c r="I208" s="89">
        <v>43117</v>
      </c>
      <c r="J208" s="89">
        <v>4365</v>
      </c>
      <c r="K208" s="89">
        <v>4250</v>
      </c>
      <c r="L208" s="89">
        <v>4170</v>
      </c>
      <c r="M208" s="89">
        <v>4105</v>
      </c>
      <c r="N208" s="89">
        <v>23457000</v>
      </c>
      <c r="O208" s="113" t="s">
        <v>347</v>
      </c>
      <c r="P208" s="256">
        <v>44058</v>
      </c>
      <c r="Q208" s="258">
        <v>43.8</v>
      </c>
      <c r="R208" s="258">
        <v>43.9</v>
      </c>
      <c r="S208" s="258">
        <v>44</v>
      </c>
      <c r="T208" s="258">
        <v>44</v>
      </c>
      <c r="U208" s="258">
        <v>44</v>
      </c>
      <c r="V208" s="258">
        <v>43.9</v>
      </c>
      <c r="W208" s="258">
        <v>43.9</v>
      </c>
      <c r="X208" s="258">
        <v>43.8</v>
      </c>
      <c r="Y208" s="258">
        <v>43.8</v>
      </c>
      <c r="Z208" s="258">
        <v>43.7</v>
      </c>
    </row>
    <row r="209" spans="1:29" ht="13.15" x14ac:dyDescent="0.25">
      <c r="A209" t="s">
        <v>699</v>
      </c>
      <c r="C209" s="139" t="s">
        <v>511</v>
      </c>
      <c r="D209" s="95">
        <f t="shared" si="10"/>
        <v>2.7900146842878121E-3</v>
      </c>
      <c r="E209" t="s">
        <v>173</v>
      </c>
      <c r="F209" s="95">
        <f t="shared" si="11"/>
        <v>2.1917808219178082E-2</v>
      </c>
      <c r="G209" s="136">
        <f t="shared" si="9"/>
        <v>-448.7905301080803</v>
      </c>
      <c r="H209" s="187">
        <v>19068</v>
      </c>
      <c r="I209" s="89">
        <v>19430</v>
      </c>
      <c r="J209" s="89">
        <v>1425</v>
      </c>
      <c r="K209" s="89">
        <v>1410</v>
      </c>
      <c r="L209" s="89">
        <v>1335</v>
      </c>
      <c r="M209" s="89">
        <v>1305</v>
      </c>
      <c r="N209" s="89">
        <v>-8720000</v>
      </c>
      <c r="O209" s="113" t="s">
        <v>511</v>
      </c>
      <c r="P209" s="257">
        <v>19068</v>
      </c>
      <c r="Q209" s="258">
        <v>19.2</v>
      </c>
      <c r="R209" s="258">
        <v>19.399999999999999</v>
      </c>
      <c r="S209" s="258">
        <v>19.5</v>
      </c>
      <c r="T209" s="258">
        <v>19.600000000000001</v>
      </c>
      <c r="U209" s="258">
        <v>19.600000000000001</v>
      </c>
      <c r="V209" s="258">
        <v>19.600000000000001</v>
      </c>
      <c r="W209" s="258">
        <v>19.600000000000001</v>
      </c>
      <c r="X209" s="258">
        <v>19.7</v>
      </c>
      <c r="Y209" s="258">
        <v>19.7</v>
      </c>
      <c r="Z209" s="258">
        <v>19.600000000000001</v>
      </c>
      <c r="AB209" s="115"/>
      <c r="AC209" s="115"/>
    </row>
    <row r="210" spans="1:29" ht="13.15" x14ac:dyDescent="0.25">
      <c r="A210" t="s">
        <v>690</v>
      </c>
      <c r="C210" s="139" t="s">
        <v>876</v>
      </c>
      <c r="D210" s="95">
        <f t="shared" si="10"/>
        <v>4.0896849752614772E-3</v>
      </c>
      <c r="E210" t="s">
        <v>173</v>
      </c>
      <c r="F210" s="95">
        <f t="shared" si="11"/>
        <v>1.701258931609391E-2</v>
      </c>
      <c r="G210" s="136">
        <f t="shared" si="9"/>
        <v>1990.723633073816</v>
      </c>
      <c r="H210" s="187">
        <v>79835</v>
      </c>
      <c r="I210" s="89">
        <v>78479</v>
      </c>
      <c r="J210" s="89">
        <v>7620</v>
      </c>
      <c r="K210" s="89">
        <v>7425</v>
      </c>
      <c r="L210" s="89">
        <v>7225</v>
      </c>
      <c r="M210" s="89">
        <v>7120</v>
      </c>
      <c r="N210" s="89">
        <v>156230000</v>
      </c>
      <c r="O210" s="113" t="s">
        <v>876</v>
      </c>
      <c r="P210" s="256">
        <v>79835</v>
      </c>
      <c r="Q210" s="258">
        <v>80.3</v>
      </c>
      <c r="R210" s="258">
        <v>80.900000000000006</v>
      </c>
      <c r="S210" s="258">
        <v>81.400000000000006</v>
      </c>
      <c r="T210" s="258">
        <v>81.8</v>
      </c>
      <c r="U210" s="258">
        <v>82</v>
      </c>
      <c r="V210" s="258">
        <v>82.3</v>
      </c>
      <c r="W210" s="258">
        <v>82.6</v>
      </c>
      <c r="X210" s="258">
        <v>82.8</v>
      </c>
      <c r="Y210" s="258">
        <v>82.9</v>
      </c>
      <c r="Z210" s="258">
        <v>83.1</v>
      </c>
    </row>
    <row r="211" spans="1:29" s="115" customFormat="1" ht="13.15" x14ac:dyDescent="0.25">
      <c r="A211" s="115" t="s">
        <v>693</v>
      </c>
      <c r="C211" s="139" t="s">
        <v>208</v>
      </c>
      <c r="D211" s="95">
        <f t="shared" si="10"/>
        <v>-7.0770145703241156E-3</v>
      </c>
      <c r="E211" t="s">
        <v>578</v>
      </c>
      <c r="F211" s="95">
        <f t="shared" si="11"/>
        <v>1.4616321559074299E-2</v>
      </c>
      <c r="G211" s="136">
        <f t="shared" si="9"/>
        <v>704.71211791185658</v>
      </c>
      <c r="H211" s="187">
        <v>13452</v>
      </c>
      <c r="I211" s="187">
        <v>13773</v>
      </c>
      <c r="J211" s="187">
        <v>1060</v>
      </c>
      <c r="K211" s="114">
        <v>1035</v>
      </c>
      <c r="L211" s="89">
        <v>1010</v>
      </c>
      <c r="M211" s="114">
        <v>1000</v>
      </c>
      <c r="N211" s="114">
        <v>9706000</v>
      </c>
      <c r="O211" s="116" t="s">
        <v>208</v>
      </c>
      <c r="P211" s="256">
        <v>13452</v>
      </c>
      <c r="Q211" s="258">
        <v>13.4</v>
      </c>
      <c r="R211" s="258">
        <v>13.3</v>
      </c>
      <c r="S211" s="258">
        <v>13.2</v>
      </c>
      <c r="T211" s="258">
        <v>13.1</v>
      </c>
      <c r="U211" s="258">
        <v>13</v>
      </c>
      <c r="V211" s="258">
        <v>12.9</v>
      </c>
      <c r="W211" s="258">
        <v>12.9</v>
      </c>
      <c r="X211" s="258">
        <v>12.7</v>
      </c>
      <c r="Y211" s="258">
        <v>12.6</v>
      </c>
      <c r="Z211" s="258">
        <v>12.5</v>
      </c>
      <c r="AB211"/>
      <c r="AC211"/>
    </row>
    <row r="212" spans="1:29" ht="13.15" x14ac:dyDescent="0.25">
      <c r="A212" t="s">
        <v>698</v>
      </c>
      <c r="C212" s="139" t="s">
        <v>187</v>
      </c>
      <c r="D212" s="95">
        <f t="shared" si="10"/>
        <v>-7.9552925706771853E-3</v>
      </c>
      <c r="E212" t="s">
        <v>173</v>
      </c>
      <c r="F212" s="95">
        <f t="shared" si="11"/>
        <v>3.0497592295345103E-2</v>
      </c>
      <c r="G212" s="136">
        <f t="shared" si="9"/>
        <v>1386.5512218805632</v>
      </c>
      <c r="H212" s="187">
        <v>12168</v>
      </c>
      <c r="I212" s="89">
        <v>12358</v>
      </c>
      <c r="J212" s="89">
        <v>835</v>
      </c>
      <c r="K212" s="89">
        <v>785</v>
      </c>
      <c r="L212" s="89">
        <v>755</v>
      </c>
      <c r="M212" s="89">
        <v>740</v>
      </c>
      <c r="N212" s="89">
        <v>17135000</v>
      </c>
      <c r="O212" s="113" t="s">
        <v>187</v>
      </c>
      <c r="P212" s="256">
        <v>12168</v>
      </c>
      <c r="Q212" s="258">
        <v>12.1</v>
      </c>
      <c r="R212" s="258">
        <v>12.1</v>
      </c>
      <c r="S212" s="258">
        <v>12</v>
      </c>
      <c r="T212" s="258">
        <v>11.9</v>
      </c>
      <c r="U212" s="258">
        <v>11.8</v>
      </c>
      <c r="V212" s="258">
        <v>11.7</v>
      </c>
      <c r="W212" s="258">
        <v>11.6</v>
      </c>
      <c r="X212" s="258">
        <v>11.5</v>
      </c>
      <c r="Y212" s="258">
        <v>11.4</v>
      </c>
      <c r="Z212" s="258">
        <v>11.2</v>
      </c>
    </row>
    <row r="213" spans="1:29" ht="13.15" x14ac:dyDescent="0.25">
      <c r="A213" t="s">
        <v>689</v>
      </c>
      <c r="C213" s="139" t="s">
        <v>167</v>
      </c>
      <c r="D213" s="95">
        <f t="shared" si="10"/>
        <v>3.5861400533074876E-3</v>
      </c>
      <c r="E213" t="s">
        <v>544</v>
      </c>
      <c r="F213" s="95">
        <f t="shared" si="11"/>
        <v>1.6793893129770993E-2</v>
      </c>
      <c r="G213" s="136">
        <f t="shared" si="9"/>
        <v>3301.6915850551068</v>
      </c>
      <c r="H213" s="187">
        <v>33016</v>
      </c>
      <c r="I213" s="89">
        <v>32573</v>
      </c>
      <c r="J213" s="89">
        <v>2550</v>
      </c>
      <c r="K213" s="89">
        <v>2460</v>
      </c>
      <c r="L213" s="89">
        <v>2430</v>
      </c>
      <c r="M213" s="89">
        <v>2385</v>
      </c>
      <c r="N213" s="89">
        <v>107546000</v>
      </c>
      <c r="O213" s="113" t="s">
        <v>167</v>
      </c>
      <c r="P213" s="256">
        <v>33016</v>
      </c>
      <c r="Q213" s="258">
        <v>33.1</v>
      </c>
      <c r="R213" s="258">
        <v>33.200000000000003</v>
      </c>
      <c r="S213" s="258">
        <v>33.4</v>
      </c>
      <c r="T213" s="258">
        <v>33.6</v>
      </c>
      <c r="U213" s="258">
        <v>33.700000000000003</v>
      </c>
      <c r="V213" s="258">
        <v>33.799999999999997</v>
      </c>
      <c r="W213" s="258">
        <v>33.9</v>
      </c>
      <c r="X213" s="258">
        <v>34</v>
      </c>
      <c r="Y213" s="258">
        <v>34.1</v>
      </c>
      <c r="Z213" s="258">
        <v>34.200000000000003</v>
      </c>
    </row>
    <row r="214" spans="1:29" ht="13.15" x14ac:dyDescent="0.25">
      <c r="A214" t="s">
        <v>701</v>
      </c>
      <c r="C214" s="139" t="s">
        <v>425</v>
      </c>
      <c r="D214" s="95">
        <f t="shared" si="10"/>
        <v>2.6548672566371681E-3</v>
      </c>
      <c r="E214" t="s">
        <v>544</v>
      </c>
      <c r="F214" s="95">
        <f t="shared" si="11"/>
        <v>1.9261006289308175E-2</v>
      </c>
      <c r="G214" s="136">
        <f t="shared" si="9"/>
        <v>4167.057444314185</v>
      </c>
      <c r="H214" s="187">
        <v>48025</v>
      </c>
      <c r="I214" s="89">
        <v>47768</v>
      </c>
      <c r="J214" s="89">
        <v>3310</v>
      </c>
      <c r="K214" s="89">
        <v>3210</v>
      </c>
      <c r="L214" s="89">
        <v>3135</v>
      </c>
      <c r="M214" s="89">
        <v>3065</v>
      </c>
      <c r="N214" s="89">
        <v>199052000</v>
      </c>
      <c r="O214" s="113" t="s">
        <v>425</v>
      </c>
      <c r="P214" s="256">
        <v>48025</v>
      </c>
      <c r="Q214" s="258">
        <v>48.1</v>
      </c>
      <c r="R214" s="258">
        <v>48.3</v>
      </c>
      <c r="S214" s="258">
        <v>48.6</v>
      </c>
      <c r="T214" s="258">
        <v>48.8</v>
      </c>
      <c r="U214" s="258">
        <v>48.9</v>
      </c>
      <c r="V214" s="258">
        <v>49.1</v>
      </c>
      <c r="W214" s="258">
        <v>49.2</v>
      </c>
      <c r="X214" s="258">
        <v>49.2</v>
      </c>
      <c r="Y214" s="258">
        <v>49.3</v>
      </c>
      <c r="Z214" s="258">
        <v>49.3</v>
      </c>
    </row>
    <row r="215" spans="1:29" ht="13.15" x14ac:dyDescent="0.25">
      <c r="A215" t="s">
        <v>689</v>
      </c>
      <c r="C215" s="139" t="s">
        <v>394</v>
      </c>
      <c r="D215" s="95">
        <f t="shared" si="10"/>
        <v>5.6005043606178412E-3</v>
      </c>
      <c r="E215" t="s">
        <v>578</v>
      </c>
      <c r="F215" s="95">
        <f t="shared" si="11"/>
        <v>2.6295436968290797E-2</v>
      </c>
      <c r="G215" s="136">
        <f t="shared" si="9"/>
        <v>-693.27846364883396</v>
      </c>
      <c r="H215" s="187">
        <v>19034</v>
      </c>
      <c r="I215" s="89">
        <v>18225</v>
      </c>
      <c r="J215" s="89">
        <v>1705</v>
      </c>
      <c r="K215" s="89">
        <v>1645</v>
      </c>
      <c r="L215" s="89">
        <v>1580</v>
      </c>
      <c r="M215" s="89">
        <v>1535</v>
      </c>
      <c r="N215" s="89">
        <v>-12635000</v>
      </c>
      <c r="O215" s="113" t="s">
        <v>394</v>
      </c>
      <c r="P215" s="256">
        <v>19034</v>
      </c>
      <c r="Q215" s="258">
        <v>19.399999999999999</v>
      </c>
      <c r="R215" s="258">
        <v>19.7</v>
      </c>
      <c r="S215" s="258">
        <v>19.8</v>
      </c>
      <c r="T215" s="258">
        <v>19.8</v>
      </c>
      <c r="U215" s="258">
        <v>19.899999999999999</v>
      </c>
      <c r="V215" s="258">
        <v>20</v>
      </c>
      <c r="W215" s="258">
        <v>20.100000000000001</v>
      </c>
      <c r="X215" s="258">
        <v>20</v>
      </c>
      <c r="Y215" s="258">
        <v>20.100000000000001</v>
      </c>
      <c r="Z215" s="258">
        <v>20.100000000000001</v>
      </c>
    </row>
    <row r="216" spans="1:29" ht="13.15" x14ac:dyDescent="0.25">
      <c r="A216" t="s">
        <v>694</v>
      </c>
      <c r="C216" s="139" t="s">
        <v>168</v>
      </c>
      <c r="D216" s="95">
        <f t="shared" si="10"/>
        <v>-2.726646912693424E-3</v>
      </c>
      <c r="E216" t="s">
        <v>173</v>
      </c>
      <c r="F216" s="95">
        <f t="shared" si="11"/>
        <v>1.8467220683287166E-2</v>
      </c>
      <c r="G216" s="136">
        <f t="shared" si="9"/>
        <v>1160.9452291554919</v>
      </c>
      <c r="H216" s="187">
        <v>33411</v>
      </c>
      <c r="I216" s="89">
        <v>33558</v>
      </c>
      <c r="J216" s="89">
        <v>2815</v>
      </c>
      <c r="K216" s="89">
        <v>2735</v>
      </c>
      <c r="L216" s="89">
        <v>2665</v>
      </c>
      <c r="M216" s="89">
        <v>2615</v>
      </c>
      <c r="N216" s="89">
        <v>38959000</v>
      </c>
      <c r="O216" s="113" t="s">
        <v>168</v>
      </c>
      <c r="P216" s="256">
        <v>33411</v>
      </c>
      <c r="Q216" s="258">
        <v>33.299999999999997</v>
      </c>
      <c r="R216" s="258">
        <v>33.299999999999997</v>
      </c>
      <c r="S216" s="258">
        <v>33.1</v>
      </c>
      <c r="T216" s="258">
        <v>33.1</v>
      </c>
      <c r="U216" s="258">
        <v>33</v>
      </c>
      <c r="V216" s="258">
        <v>32.9</v>
      </c>
      <c r="W216" s="258">
        <v>32.799999999999997</v>
      </c>
      <c r="X216" s="258">
        <v>32.700000000000003</v>
      </c>
      <c r="Y216" s="258">
        <v>32.6</v>
      </c>
      <c r="Z216" s="258">
        <v>32.5</v>
      </c>
    </row>
    <row r="217" spans="1:29" ht="13.15" x14ac:dyDescent="0.25">
      <c r="A217" t="s">
        <v>699</v>
      </c>
      <c r="C217" s="139" t="s">
        <v>470</v>
      </c>
      <c r="D217" s="95">
        <f t="shared" si="10"/>
        <v>-9.9009900990099011E-4</v>
      </c>
      <c r="E217" t="s">
        <v>578</v>
      </c>
      <c r="F217" s="95">
        <f t="shared" si="11"/>
        <v>1.7348203221809171E-2</v>
      </c>
      <c r="G217" s="136">
        <f t="shared" si="9"/>
        <v>80.724876441515647</v>
      </c>
      <c r="H217" s="187">
        <v>10807</v>
      </c>
      <c r="I217" s="89">
        <v>10926</v>
      </c>
      <c r="J217" s="89">
        <v>1040</v>
      </c>
      <c r="K217" s="89">
        <v>1035</v>
      </c>
      <c r="L217" s="89">
        <v>990</v>
      </c>
      <c r="M217" s="89">
        <v>970</v>
      </c>
      <c r="N217" s="89">
        <v>882000</v>
      </c>
      <c r="O217" s="113" t="s">
        <v>470</v>
      </c>
      <c r="P217" s="256">
        <v>10807</v>
      </c>
      <c r="Q217" s="258">
        <v>10.7</v>
      </c>
      <c r="R217" s="258">
        <v>10.6</v>
      </c>
      <c r="S217" s="258">
        <v>10.6</v>
      </c>
      <c r="T217" s="258">
        <v>10.6</v>
      </c>
      <c r="U217" s="258">
        <v>10.6</v>
      </c>
      <c r="V217" s="258">
        <v>10.6</v>
      </c>
      <c r="W217" s="258">
        <v>10.6</v>
      </c>
      <c r="X217" s="258">
        <v>10.6</v>
      </c>
      <c r="Y217" s="258">
        <v>10.7</v>
      </c>
      <c r="Z217" s="258">
        <v>10.7</v>
      </c>
    </row>
    <row r="218" spans="1:29" ht="13.15" x14ac:dyDescent="0.25">
      <c r="A218" t="s">
        <v>690</v>
      </c>
      <c r="C218" s="139" t="s">
        <v>471</v>
      </c>
      <c r="D218" s="95">
        <f t="shared" si="10"/>
        <v>-3.640546758695358E-3</v>
      </c>
      <c r="E218" t="s">
        <v>578</v>
      </c>
      <c r="F218" s="95">
        <f t="shared" si="11"/>
        <v>1.2504465880671669E-2</v>
      </c>
      <c r="G218" s="136">
        <f t="shared" si="9"/>
        <v>-910.08159465527626</v>
      </c>
      <c r="H218" s="187">
        <v>36945</v>
      </c>
      <c r="I218" s="89">
        <v>36522</v>
      </c>
      <c r="J218" s="89">
        <v>3565</v>
      </c>
      <c r="K218" s="89">
        <v>3560</v>
      </c>
      <c r="L218" s="89">
        <v>3480</v>
      </c>
      <c r="M218" s="89">
        <v>3390</v>
      </c>
      <c r="N218" s="89">
        <v>-33238000</v>
      </c>
      <c r="O218" s="113" t="s">
        <v>471</v>
      </c>
      <c r="P218" s="256">
        <v>36945</v>
      </c>
      <c r="Q218" s="258">
        <v>36.6</v>
      </c>
      <c r="R218" s="258">
        <v>36.5</v>
      </c>
      <c r="S218" s="258">
        <v>36.5</v>
      </c>
      <c r="T218" s="258">
        <v>36.299999999999997</v>
      </c>
      <c r="U218" s="258">
        <v>36.200000000000003</v>
      </c>
      <c r="V218" s="258">
        <v>36.1</v>
      </c>
      <c r="W218" s="258">
        <v>35.9</v>
      </c>
      <c r="X218" s="258">
        <v>35.799999999999997</v>
      </c>
      <c r="Y218" s="258">
        <v>35.700000000000003</v>
      </c>
      <c r="Z218" s="258">
        <v>35.6</v>
      </c>
    </row>
    <row r="219" spans="1:29" ht="13.15" x14ac:dyDescent="0.25">
      <c r="A219" t="s">
        <v>694</v>
      </c>
      <c r="C219" s="139" t="s">
        <v>395</v>
      </c>
      <c r="D219" s="95">
        <f t="shared" si="10"/>
        <v>1.3490378689310415E-3</v>
      </c>
      <c r="E219" t="s">
        <v>578</v>
      </c>
      <c r="F219" s="95">
        <f t="shared" si="11"/>
        <v>1.8480492813141684E-2</v>
      </c>
      <c r="G219" s="136">
        <f t="shared" si="9"/>
        <v>1254.5185897876434</v>
      </c>
      <c r="H219" s="187">
        <v>29206</v>
      </c>
      <c r="I219" s="89">
        <v>29102</v>
      </c>
      <c r="J219" s="89">
        <v>2525</v>
      </c>
      <c r="K219" s="89">
        <v>2460</v>
      </c>
      <c r="L219" s="89">
        <v>2410</v>
      </c>
      <c r="M219" s="89">
        <v>2345</v>
      </c>
      <c r="N219" s="89">
        <v>36509000</v>
      </c>
      <c r="O219" s="113" t="s">
        <v>395</v>
      </c>
      <c r="P219" s="256">
        <v>29206</v>
      </c>
      <c r="Q219" s="258">
        <v>29.1</v>
      </c>
      <c r="R219" s="258">
        <v>29.2</v>
      </c>
      <c r="S219" s="258">
        <v>29.3</v>
      </c>
      <c r="T219" s="258">
        <v>29.4</v>
      </c>
      <c r="U219" s="258">
        <v>29.5</v>
      </c>
      <c r="V219" s="258">
        <v>29.6</v>
      </c>
      <c r="W219" s="258">
        <v>29.6</v>
      </c>
      <c r="X219" s="258">
        <v>29.6</v>
      </c>
      <c r="Y219" s="258">
        <v>29.6</v>
      </c>
      <c r="Z219" s="258">
        <v>29.6</v>
      </c>
    </row>
    <row r="220" spans="1:29" ht="13.15" x14ac:dyDescent="0.25">
      <c r="A220" t="s">
        <v>692</v>
      </c>
      <c r="C220" s="139" t="s">
        <v>268</v>
      </c>
      <c r="D220" s="95">
        <f t="shared" si="10"/>
        <v>-2.579932598906856E-3</v>
      </c>
      <c r="E220" t="s">
        <v>173</v>
      </c>
      <c r="F220" s="95">
        <f t="shared" si="11"/>
        <v>2.117863720073665E-2</v>
      </c>
      <c r="G220" s="136">
        <f t="shared" si="9"/>
        <v>1316.725166224353</v>
      </c>
      <c r="H220" s="187">
        <v>35311</v>
      </c>
      <c r="I220" s="89">
        <v>35043</v>
      </c>
      <c r="J220" s="89">
        <v>2820</v>
      </c>
      <c r="K220" s="89">
        <v>2785</v>
      </c>
      <c r="L220" s="89">
        <v>2665</v>
      </c>
      <c r="M220" s="89">
        <v>2590</v>
      </c>
      <c r="N220" s="89">
        <v>46142000</v>
      </c>
      <c r="O220" s="113" t="s">
        <v>268</v>
      </c>
      <c r="P220" s="256">
        <v>35311</v>
      </c>
      <c r="Q220" s="258">
        <v>35.200000000000003</v>
      </c>
      <c r="R220" s="258">
        <v>35.200000000000003</v>
      </c>
      <c r="S220" s="258">
        <v>35.200000000000003</v>
      </c>
      <c r="T220" s="258">
        <v>35.200000000000003</v>
      </c>
      <c r="U220" s="258">
        <v>35.1</v>
      </c>
      <c r="V220" s="258">
        <v>35</v>
      </c>
      <c r="W220" s="258">
        <v>34.9</v>
      </c>
      <c r="X220" s="258">
        <v>34.700000000000003</v>
      </c>
      <c r="Y220" s="258">
        <v>34.6</v>
      </c>
      <c r="Z220" s="258">
        <v>34.4</v>
      </c>
    </row>
    <row r="221" spans="1:29" ht="13.15" x14ac:dyDescent="0.25">
      <c r="A221" t="s">
        <v>697</v>
      </c>
      <c r="C221" s="139" t="s">
        <v>541</v>
      </c>
      <c r="D221" s="95">
        <f t="shared" si="10"/>
        <v>-3.3677075070310813E-3</v>
      </c>
      <c r="E221" t="s">
        <v>578</v>
      </c>
      <c r="F221" s="95">
        <f t="shared" si="11"/>
        <v>2.564102564102564E-2</v>
      </c>
      <c r="G221" s="136">
        <f t="shared" si="9"/>
        <v>1027.2774060730828</v>
      </c>
      <c r="H221" s="187">
        <v>13867</v>
      </c>
      <c r="I221" s="89">
        <v>13601</v>
      </c>
      <c r="J221" s="89">
        <v>1380</v>
      </c>
      <c r="K221" s="89">
        <v>1335</v>
      </c>
      <c r="L221" s="89">
        <v>1305</v>
      </c>
      <c r="M221" s="89">
        <v>1245</v>
      </c>
      <c r="N221" s="89">
        <v>13972000</v>
      </c>
      <c r="O221" s="113" t="s">
        <v>541</v>
      </c>
      <c r="P221" s="256">
        <v>13867</v>
      </c>
      <c r="Q221" s="258">
        <v>13.6</v>
      </c>
      <c r="R221" s="258">
        <v>13.6</v>
      </c>
      <c r="S221" s="258">
        <v>13.6</v>
      </c>
      <c r="T221" s="258">
        <v>13.6</v>
      </c>
      <c r="U221" s="258">
        <v>13.6</v>
      </c>
      <c r="V221" s="258">
        <v>13.5</v>
      </c>
      <c r="W221" s="258">
        <v>13.5</v>
      </c>
      <c r="X221" s="258">
        <v>13.5</v>
      </c>
      <c r="Y221" s="258">
        <v>13.5</v>
      </c>
      <c r="Z221" s="258">
        <v>13.4</v>
      </c>
    </row>
    <row r="222" spans="1:29" ht="13.15" x14ac:dyDescent="0.25">
      <c r="A222" t="s">
        <v>699</v>
      </c>
      <c r="C222" s="139" t="s">
        <v>512</v>
      </c>
      <c r="D222" s="95">
        <f t="shared" si="10"/>
        <v>-2.187902187902188E-3</v>
      </c>
      <c r="E222" t="s">
        <v>578</v>
      </c>
      <c r="F222" s="95">
        <f t="shared" si="11"/>
        <v>2.1825396825396824E-2</v>
      </c>
      <c r="G222" s="136">
        <f t="shared" si="9"/>
        <v>-1002.1590043180087</v>
      </c>
      <c r="H222" s="187">
        <v>7770</v>
      </c>
      <c r="I222" s="89">
        <v>7874</v>
      </c>
      <c r="J222" s="89">
        <v>660</v>
      </c>
      <c r="K222" s="89">
        <v>650</v>
      </c>
      <c r="L222" s="89">
        <v>605</v>
      </c>
      <c r="M222" s="89">
        <v>605</v>
      </c>
      <c r="N222" s="89">
        <v>-7891000</v>
      </c>
      <c r="O222" s="113" t="s">
        <v>512</v>
      </c>
      <c r="P222" s="256">
        <v>7770</v>
      </c>
      <c r="Q222" s="258">
        <v>7.9</v>
      </c>
      <c r="R222" s="258">
        <v>7.8</v>
      </c>
      <c r="S222" s="258">
        <v>7.7</v>
      </c>
      <c r="T222" s="258">
        <v>7.7</v>
      </c>
      <c r="U222" s="258">
        <v>7.6</v>
      </c>
      <c r="V222" s="258">
        <v>7.6</v>
      </c>
      <c r="W222" s="258">
        <v>7.6</v>
      </c>
      <c r="X222" s="258">
        <v>7.6</v>
      </c>
      <c r="Y222" s="258">
        <v>7.6</v>
      </c>
      <c r="Z222" s="258">
        <v>7.6</v>
      </c>
    </row>
    <row r="223" spans="1:29" ht="13.15" x14ac:dyDescent="0.25">
      <c r="A223" t="s">
        <v>692</v>
      </c>
      <c r="C223" s="139" t="s">
        <v>269</v>
      </c>
      <c r="D223" s="95">
        <f t="shared" si="10"/>
        <v>-8.6262392172009789E-4</v>
      </c>
      <c r="E223" t="s">
        <v>578</v>
      </c>
      <c r="F223" s="95">
        <f t="shared" si="11"/>
        <v>2.4627720504009163E-2</v>
      </c>
      <c r="G223" s="136">
        <f t="shared" si="9"/>
        <v>1697.3556204121342</v>
      </c>
      <c r="H223" s="187">
        <v>23301</v>
      </c>
      <c r="I223" s="89">
        <v>22614</v>
      </c>
      <c r="J223" s="89">
        <v>2305</v>
      </c>
      <c r="K223" s="89">
        <v>2190</v>
      </c>
      <c r="L223" s="89">
        <v>2145</v>
      </c>
      <c r="M223" s="89">
        <v>2090</v>
      </c>
      <c r="N223" s="89">
        <v>38384000</v>
      </c>
      <c r="O223" s="113" t="s">
        <v>269</v>
      </c>
      <c r="P223" s="256">
        <v>23301</v>
      </c>
      <c r="Q223" s="258">
        <v>23</v>
      </c>
      <c r="R223" s="258">
        <v>23.1</v>
      </c>
      <c r="S223" s="258">
        <v>23.1</v>
      </c>
      <c r="T223" s="258">
        <v>23.1</v>
      </c>
      <c r="U223" s="258">
        <v>23.1</v>
      </c>
      <c r="V223" s="258">
        <v>23.1</v>
      </c>
      <c r="W223" s="258">
        <v>23.1</v>
      </c>
      <c r="X223" s="258">
        <v>23.1</v>
      </c>
      <c r="Y223" s="258">
        <v>23.1</v>
      </c>
      <c r="Z223" s="258">
        <v>23.1</v>
      </c>
    </row>
    <row r="224" spans="1:29" ht="13.15" x14ac:dyDescent="0.25">
      <c r="A224" t="s">
        <v>699</v>
      </c>
      <c r="C224" s="139" t="s">
        <v>513</v>
      </c>
      <c r="D224" s="95">
        <f t="shared" si="10"/>
        <v>8.4831227383282918E-4</v>
      </c>
      <c r="E224" t="s">
        <v>173</v>
      </c>
      <c r="F224" s="95">
        <f t="shared" si="11"/>
        <v>2.1152443471918306E-2</v>
      </c>
      <c r="G224" s="136">
        <f t="shared" si="9"/>
        <v>-628.10804364677119</v>
      </c>
      <c r="H224" s="187">
        <v>16857</v>
      </c>
      <c r="I224" s="89">
        <v>16771</v>
      </c>
      <c r="J224" s="89">
        <v>1775</v>
      </c>
      <c r="K224" s="89">
        <v>1750</v>
      </c>
      <c r="L224" s="89">
        <v>1700</v>
      </c>
      <c r="M224" s="89">
        <v>1630</v>
      </c>
      <c r="N224" s="89">
        <v>-10534000</v>
      </c>
      <c r="O224" s="113" t="s">
        <v>513</v>
      </c>
      <c r="P224" s="256">
        <v>16857</v>
      </c>
      <c r="Q224" s="258">
        <v>16.8</v>
      </c>
      <c r="R224" s="258">
        <v>16.899999999999999</v>
      </c>
      <c r="S224" s="258">
        <v>16.899999999999999</v>
      </c>
      <c r="T224" s="258">
        <v>16.899999999999999</v>
      </c>
      <c r="U224" s="258">
        <v>16.899999999999999</v>
      </c>
      <c r="V224" s="258">
        <v>17</v>
      </c>
      <c r="W224" s="258">
        <v>17</v>
      </c>
      <c r="X224" s="258">
        <v>17</v>
      </c>
      <c r="Y224" s="258">
        <v>17</v>
      </c>
      <c r="Z224" s="258">
        <v>17</v>
      </c>
    </row>
    <row r="225" spans="1:29" ht="13.15" x14ac:dyDescent="0.25">
      <c r="A225" t="s">
        <v>692</v>
      </c>
      <c r="C225" s="139" t="s">
        <v>270</v>
      </c>
      <c r="D225" s="95">
        <f t="shared" si="10"/>
        <v>-1.9607843137254902E-3</v>
      </c>
      <c r="E225" t="s">
        <v>578</v>
      </c>
      <c r="F225" s="95">
        <f t="shared" si="11"/>
        <v>1.9264448336252189E-2</v>
      </c>
      <c r="G225" s="136">
        <f t="shared" si="9"/>
        <v>893.62950544844932</v>
      </c>
      <c r="H225" s="187">
        <v>12342</v>
      </c>
      <c r="I225" s="89">
        <v>11930</v>
      </c>
      <c r="J225" s="89">
        <v>1500</v>
      </c>
      <c r="K225" s="89">
        <v>1445</v>
      </c>
      <c r="L225" s="89">
        <v>1375</v>
      </c>
      <c r="M225" s="89">
        <v>1390</v>
      </c>
      <c r="N225" s="89">
        <v>10661000</v>
      </c>
      <c r="O225" s="113" t="s">
        <v>270</v>
      </c>
      <c r="P225" s="256">
        <v>12342</v>
      </c>
      <c r="Q225" s="258">
        <v>12.2</v>
      </c>
      <c r="R225" s="258">
        <v>12.2</v>
      </c>
      <c r="S225" s="258">
        <v>12.2</v>
      </c>
      <c r="T225" s="258">
        <v>12.3</v>
      </c>
      <c r="U225" s="258">
        <v>12.2</v>
      </c>
      <c r="V225" s="258">
        <v>12.2</v>
      </c>
      <c r="W225" s="258">
        <v>12.2</v>
      </c>
      <c r="X225" s="258">
        <v>12.2</v>
      </c>
      <c r="Y225" s="258">
        <v>12.1</v>
      </c>
      <c r="Z225" s="258">
        <v>12.1</v>
      </c>
    </row>
    <row r="226" spans="1:29" ht="13.15" x14ac:dyDescent="0.25">
      <c r="A226" t="s">
        <v>697</v>
      </c>
      <c r="C226" s="139" t="s">
        <v>305</v>
      </c>
      <c r="D226" s="95">
        <f t="shared" si="10"/>
        <v>4.2592742261375579E-3</v>
      </c>
      <c r="E226" t="s">
        <v>544</v>
      </c>
      <c r="F226" s="95">
        <f t="shared" si="11"/>
        <v>2.4634542501353548E-2</v>
      </c>
      <c r="G226" s="136">
        <f t="shared" si="9"/>
        <v>2249.9670619235835</v>
      </c>
      <c r="H226" s="187">
        <v>61865</v>
      </c>
      <c r="I226" s="89">
        <v>60720</v>
      </c>
      <c r="J226" s="89">
        <v>4890</v>
      </c>
      <c r="K226" s="89">
        <v>4720</v>
      </c>
      <c r="L226" s="89">
        <v>4425</v>
      </c>
      <c r="M226" s="89">
        <v>4435</v>
      </c>
      <c r="N226" s="89">
        <v>136618000</v>
      </c>
      <c r="O226" s="113" t="s">
        <v>305</v>
      </c>
      <c r="P226" s="256">
        <v>61865</v>
      </c>
      <c r="Q226" s="258">
        <v>62.7</v>
      </c>
      <c r="R226" s="258">
        <v>63.2</v>
      </c>
      <c r="S226" s="258">
        <v>63.5</v>
      </c>
      <c r="T226" s="258">
        <v>63.7</v>
      </c>
      <c r="U226" s="258">
        <v>63.8</v>
      </c>
      <c r="V226" s="258">
        <v>64</v>
      </c>
      <c r="W226" s="258">
        <v>64.099999999999994</v>
      </c>
      <c r="X226" s="258">
        <v>64.3</v>
      </c>
      <c r="Y226" s="258">
        <v>64.400000000000006</v>
      </c>
      <c r="Z226" s="258">
        <v>64.5</v>
      </c>
    </row>
    <row r="227" spans="1:29" ht="13.15" x14ac:dyDescent="0.25">
      <c r="A227" t="s">
        <v>697</v>
      </c>
      <c r="C227" s="139" t="s">
        <v>396</v>
      </c>
      <c r="D227" s="95">
        <f t="shared" si="10"/>
        <v>2.0993050082395931E-3</v>
      </c>
      <c r="E227" t="s">
        <v>578</v>
      </c>
      <c r="F227" s="95">
        <f t="shared" si="11"/>
        <v>2.8175740210124166E-2</v>
      </c>
      <c r="G227" s="136">
        <f t="shared" si="9"/>
        <v>-648.9582560984652</v>
      </c>
      <c r="H227" s="187">
        <v>27914</v>
      </c>
      <c r="I227" s="89">
        <v>26974</v>
      </c>
      <c r="J227" s="89">
        <v>2800</v>
      </c>
      <c r="K227" s="89">
        <v>2640</v>
      </c>
      <c r="L227" s="89">
        <v>2525</v>
      </c>
      <c r="M227" s="89">
        <v>2505</v>
      </c>
      <c r="N227" s="89">
        <v>-17505000</v>
      </c>
      <c r="O227" s="113" t="s">
        <v>396</v>
      </c>
      <c r="P227" s="256">
        <v>27914</v>
      </c>
      <c r="Q227" s="258">
        <v>27.3</v>
      </c>
      <c r="R227" s="258">
        <v>27.5</v>
      </c>
      <c r="S227" s="258">
        <v>27.7</v>
      </c>
      <c r="T227" s="258">
        <v>27.9</v>
      </c>
      <c r="U227" s="258">
        <v>28.1</v>
      </c>
      <c r="V227" s="258">
        <v>28.2</v>
      </c>
      <c r="W227" s="258">
        <v>28.3</v>
      </c>
      <c r="X227" s="258">
        <v>28.5</v>
      </c>
      <c r="Y227" s="258">
        <v>28.5</v>
      </c>
      <c r="Z227" s="258">
        <v>28.5</v>
      </c>
    </row>
    <row r="228" spans="1:29" ht="13.15" x14ac:dyDescent="0.25">
      <c r="A228" t="s">
        <v>692</v>
      </c>
      <c r="C228" s="139" t="s">
        <v>271</v>
      </c>
      <c r="D228" s="95">
        <f t="shared" si="10"/>
        <v>1.7647199674352897E-3</v>
      </c>
      <c r="E228" t="s">
        <v>578</v>
      </c>
      <c r="F228" s="95">
        <f t="shared" si="11"/>
        <v>2.1256345177664976E-2</v>
      </c>
      <c r="G228" s="136">
        <f t="shared" si="9"/>
        <v>540.92109853960028</v>
      </c>
      <c r="H228" s="187">
        <v>41763</v>
      </c>
      <c r="I228" s="89">
        <v>40126</v>
      </c>
      <c r="J228" s="89">
        <v>4115</v>
      </c>
      <c r="K228" s="89">
        <v>3995</v>
      </c>
      <c r="L228" s="89">
        <v>3870</v>
      </c>
      <c r="M228" s="89">
        <v>3780</v>
      </c>
      <c r="N228" s="89">
        <v>21705000</v>
      </c>
      <c r="O228" s="113" t="s">
        <v>271</v>
      </c>
      <c r="P228" s="256">
        <v>41763</v>
      </c>
      <c r="Q228" s="258">
        <v>41.2</v>
      </c>
      <c r="R228" s="258">
        <v>41.3</v>
      </c>
      <c r="S228" s="258">
        <v>41.4</v>
      </c>
      <c r="T228" s="258">
        <v>41.6</v>
      </c>
      <c r="U228" s="258">
        <v>41.9</v>
      </c>
      <c r="V228" s="258">
        <v>42.1</v>
      </c>
      <c r="W228" s="258">
        <v>42.3</v>
      </c>
      <c r="X228" s="258">
        <v>42.3</v>
      </c>
      <c r="Y228" s="258">
        <v>42.5</v>
      </c>
      <c r="Z228" s="258">
        <v>42.5</v>
      </c>
    </row>
    <row r="229" spans="1:29" ht="13.15" x14ac:dyDescent="0.25">
      <c r="A229" t="s">
        <v>692</v>
      </c>
      <c r="C229" s="139" t="s">
        <v>272</v>
      </c>
      <c r="D229" s="95">
        <f t="shared" si="10"/>
        <v>8.818378727130283E-3</v>
      </c>
      <c r="E229" t="s">
        <v>544</v>
      </c>
      <c r="F229" s="95">
        <f t="shared" si="11"/>
        <v>2.9466331987340392E-2</v>
      </c>
      <c r="G229" s="136">
        <f t="shared" si="9"/>
        <v>2719.9937039144702</v>
      </c>
      <c r="H229" s="187">
        <v>173592</v>
      </c>
      <c r="I229" s="89">
        <v>165182</v>
      </c>
      <c r="J229" s="89">
        <v>12180</v>
      </c>
      <c r="K229" s="89">
        <v>11730</v>
      </c>
      <c r="L229" s="89">
        <v>11075</v>
      </c>
      <c r="M229" s="89">
        <v>10830</v>
      </c>
      <c r="N229" s="89">
        <v>449294000</v>
      </c>
      <c r="O229" s="113" t="s">
        <v>272</v>
      </c>
      <c r="P229" s="256">
        <v>173592</v>
      </c>
      <c r="Q229" s="258">
        <v>173.7</v>
      </c>
      <c r="R229" s="258">
        <v>175.7</v>
      </c>
      <c r="S229" s="258">
        <v>177.6</v>
      </c>
      <c r="T229" s="258">
        <v>179.1</v>
      </c>
      <c r="U229" s="258">
        <v>180.7</v>
      </c>
      <c r="V229" s="258">
        <v>182.3</v>
      </c>
      <c r="W229" s="258">
        <v>183.9</v>
      </c>
      <c r="X229" s="258">
        <v>185.5</v>
      </c>
      <c r="Y229" s="258">
        <v>187.2</v>
      </c>
      <c r="Z229" s="258">
        <v>188.9</v>
      </c>
    </row>
    <row r="230" spans="1:29" ht="13.15" x14ac:dyDescent="0.25">
      <c r="A230" t="s">
        <v>694</v>
      </c>
      <c r="C230" s="139" t="s">
        <v>596</v>
      </c>
      <c r="D230" s="95">
        <f t="shared" si="10"/>
        <v>1.1944073631700976E-4</v>
      </c>
      <c r="E230" t="s">
        <v>173</v>
      </c>
      <c r="F230" s="95">
        <f t="shared" si="11"/>
        <v>2.026255707762557E-2</v>
      </c>
      <c r="G230" s="136">
        <f t="shared" si="9"/>
        <v>3383.3823894464344</v>
      </c>
      <c r="H230" s="187">
        <v>85398</v>
      </c>
      <c r="I230" s="89">
        <v>84597</v>
      </c>
      <c r="J230" s="89">
        <v>4555</v>
      </c>
      <c r="K230" s="89">
        <v>4465</v>
      </c>
      <c r="L230" s="89">
        <v>4300</v>
      </c>
      <c r="M230" s="89">
        <v>4200</v>
      </c>
      <c r="N230" s="89">
        <v>286224000</v>
      </c>
      <c r="O230" s="113" t="s">
        <v>596</v>
      </c>
      <c r="P230" s="256">
        <v>85398</v>
      </c>
      <c r="Q230" s="258">
        <v>85.3</v>
      </c>
      <c r="R230" s="258">
        <v>85.4</v>
      </c>
      <c r="S230" s="258">
        <v>85.5</v>
      </c>
      <c r="T230" s="258">
        <v>85.6</v>
      </c>
      <c r="U230" s="258">
        <v>85.6</v>
      </c>
      <c r="V230" s="258">
        <v>85.6</v>
      </c>
      <c r="W230" s="258">
        <v>85.6</v>
      </c>
      <c r="X230" s="258">
        <v>85.6</v>
      </c>
      <c r="Y230" s="258">
        <v>85.6</v>
      </c>
      <c r="Z230" s="258">
        <v>85.5</v>
      </c>
    </row>
    <row r="231" spans="1:29" ht="13.15" x14ac:dyDescent="0.25">
      <c r="A231" t="s">
        <v>701</v>
      </c>
      <c r="C231" s="139" t="s">
        <v>426</v>
      </c>
      <c r="D231" s="95">
        <f t="shared" si="10"/>
        <v>4.2512862171676146E-3</v>
      </c>
      <c r="E231" t="s">
        <v>578</v>
      </c>
      <c r="F231" s="95">
        <f t="shared" si="11"/>
        <v>1.5600624024960999E-2</v>
      </c>
      <c r="G231" s="136">
        <f t="shared" si="9"/>
        <v>1534.6982185588938</v>
      </c>
      <c r="H231" s="187">
        <v>7386</v>
      </c>
      <c r="I231" s="89">
        <v>7522</v>
      </c>
      <c r="J231" s="89">
        <v>830</v>
      </c>
      <c r="K231" s="89">
        <v>820</v>
      </c>
      <c r="L231" s="89">
        <v>775</v>
      </c>
      <c r="M231" s="89">
        <v>780</v>
      </c>
      <c r="N231" s="89">
        <v>11544000</v>
      </c>
      <c r="O231" s="113" t="s">
        <v>426</v>
      </c>
      <c r="P231" s="256">
        <v>7386</v>
      </c>
      <c r="Q231" s="258">
        <v>7.6</v>
      </c>
      <c r="R231" s="258">
        <v>7.6</v>
      </c>
      <c r="S231" s="258">
        <v>7.6</v>
      </c>
      <c r="T231" s="258">
        <v>7.7</v>
      </c>
      <c r="U231" s="258">
        <v>7.7</v>
      </c>
      <c r="V231" s="258">
        <v>7.7</v>
      </c>
      <c r="W231" s="258">
        <v>7.7</v>
      </c>
      <c r="X231" s="258">
        <v>7.7</v>
      </c>
      <c r="Y231" s="258">
        <v>7.7</v>
      </c>
      <c r="Z231" s="258">
        <v>7.7</v>
      </c>
    </row>
    <row r="232" spans="1:29" ht="13.15" x14ac:dyDescent="0.25">
      <c r="A232" t="s">
        <v>689</v>
      </c>
      <c r="C232" s="139" t="s">
        <v>169</v>
      </c>
      <c r="D232" s="95">
        <f t="shared" si="10"/>
        <v>-6.1800133163852061E-3</v>
      </c>
      <c r="E232" t="s">
        <v>173</v>
      </c>
      <c r="F232" s="95">
        <f t="shared" si="11"/>
        <v>1.9658561821003621E-2</v>
      </c>
      <c r="G232" s="136">
        <f t="shared" si="9"/>
        <v>2127.0877079631723</v>
      </c>
      <c r="H232" s="187">
        <v>33042</v>
      </c>
      <c r="I232" s="89">
        <v>30955</v>
      </c>
      <c r="J232" s="89">
        <v>2540</v>
      </c>
      <c r="K232" s="89">
        <v>2440</v>
      </c>
      <c r="L232" s="89">
        <v>2335</v>
      </c>
      <c r="M232" s="89">
        <v>2350</v>
      </c>
      <c r="N232" s="89">
        <v>65844000</v>
      </c>
      <c r="O232" s="113" t="s">
        <v>169</v>
      </c>
      <c r="P232" s="256">
        <v>33042</v>
      </c>
      <c r="Q232" s="258">
        <v>31.5</v>
      </c>
      <c r="R232" s="258">
        <v>31.6</v>
      </c>
      <c r="S232" s="258">
        <v>31.5</v>
      </c>
      <c r="T232" s="258">
        <v>31.3</v>
      </c>
      <c r="U232" s="258">
        <v>31.3</v>
      </c>
      <c r="V232" s="258">
        <v>31.2</v>
      </c>
      <c r="W232" s="258">
        <v>31.1</v>
      </c>
      <c r="X232" s="258">
        <v>31</v>
      </c>
      <c r="Y232" s="258">
        <v>31</v>
      </c>
      <c r="Z232" s="258">
        <v>31</v>
      </c>
    </row>
    <row r="233" spans="1:29" ht="13.15" x14ac:dyDescent="0.25">
      <c r="A233" t="s">
        <v>696</v>
      </c>
      <c r="C233" s="139" t="s">
        <v>532</v>
      </c>
      <c r="D233" s="95">
        <f t="shared" si="10"/>
        <v>2.2402646218613741E-3</v>
      </c>
      <c r="E233" t="s">
        <v>173</v>
      </c>
      <c r="F233" s="95">
        <f t="shared" si="11"/>
        <v>1.474269819193324E-2</v>
      </c>
      <c r="G233" s="136">
        <f t="shared" si="9"/>
        <v>13.680894221224808</v>
      </c>
      <c r="H233" s="187">
        <v>46557</v>
      </c>
      <c r="I233" s="89">
        <v>46342</v>
      </c>
      <c r="J233" s="89">
        <v>4640</v>
      </c>
      <c r="K233" s="89">
        <v>4530</v>
      </c>
      <c r="L233" s="89">
        <v>4430</v>
      </c>
      <c r="M233" s="89">
        <v>4375</v>
      </c>
      <c r="N233" s="89">
        <v>634000</v>
      </c>
      <c r="O233" s="113" t="s">
        <v>532</v>
      </c>
      <c r="P233" s="256">
        <v>46557</v>
      </c>
      <c r="Q233" s="258">
        <v>47</v>
      </c>
      <c r="R233" s="258">
        <v>47.5</v>
      </c>
      <c r="S233" s="258">
        <v>47.7</v>
      </c>
      <c r="T233" s="258">
        <v>47.8</v>
      </c>
      <c r="U233" s="258">
        <v>47.8</v>
      </c>
      <c r="V233" s="258">
        <v>47.8</v>
      </c>
      <c r="W233" s="258">
        <v>47.8</v>
      </c>
      <c r="X233" s="258">
        <v>47.8</v>
      </c>
      <c r="Y233" s="258">
        <v>47.7</v>
      </c>
      <c r="Z233" s="258">
        <v>47.6</v>
      </c>
    </row>
    <row r="234" spans="1:29" ht="13.15" x14ac:dyDescent="0.25">
      <c r="A234" t="s">
        <v>694</v>
      </c>
      <c r="C234" s="139" t="s">
        <v>397</v>
      </c>
      <c r="D234" s="95">
        <f t="shared" si="10"/>
        <v>1.0960757780784845E-2</v>
      </c>
      <c r="E234" t="s">
        <v>173</v>
      </c>
      <c r="F234" s="95">
        <f t="shared" si="11"/>
        <v>3.2528339083292265E-2</v>
      </c>
      <c r="G234" s="136">
        <f t="shared" si="9"/>
        <v>260.41462554375516</v>
      </c>
      <c r="H234" s="187">
        <v>25865</v>
      </c>
      <c r="I234" s="89">
        <v>25517</v>
      </c>
      <c r="J234" s="89">
        <v>2720</v>
      </c>
      <c r="K234" s="89">
        <v>2560</v>
      </c>
      <c r="L234" s="89">
        <v>2475</v>
      </c>
      <c r="M234" s="89">
        <v>2390</v>
      </c>
      <c r="N234" s="89">
        <v>6645000</v>
      </c>
      <c r="O234" s="113" t="s">
        <v>397</v>
      </c>
      <c r="P234" s="256">
        <v>25865</v>
      </c>
      <c r="Q234" s="258">
        <v>26</v>
      </c>
      <c r="R234" s="258">
        <v>26.3</v>
      </c>
      <c r="S234" s="258">
        <v>26.5</v>
      </c>
      <c r="T234" s="258">
        <v>26.9</v>
      </c>
      <c r="U234" s="258">
        <v>27.3</v>
      </c>
      <c r="V234" s="258">
        <v>27.7</v>
      </c>
      <c r="W234" s="258">
        <v>28.1</v>
      </c>
      <c r="X234" s="258">
        <v>28.3</v>
      </c>
      <c r="Y234" s="258">
        <v>28.5</v>
      </c>
      <c r="Z234" s="258">
        <v>28.7</v>
      </c>
    </row>
    <row r="235" spans="1:29" ht="13.15" x14ac:dyDescent="0.25">
      <c r="A235" t="s">
        <v>694</v>
      </c>
      <c r="C235" s="139" t="s">
        <v>398</v>
      </c>
      <c r="D235" s="95">
        <f t="shared" si="10"/>
        <v>5.9659438931765289E-3</v>
      </c>
      <c r="E235" t="s">
        <v>578</v>
      </c>
      <c r="F235" s="95">
        <f t="shared" si="11"/>
        <v>2.4207011686143573E-2</v>
      </c>
      <c r="G235" s="136">
        <f t="shared" si="9"/>
        <v>-142.51022494887525</v>
      </c>
      <c r="H235" s="187">
        <v>16326</v>
      </c>
      <c r="I235" s="89">
        <v>15648</v>
      </c>
      <c r="J235" s="89">
        <v>1585</v>
      </c>
      <c r="K235" s="89">
        <v>1510</v>
      </c>
      <c r="L235" s="89">
        <v>1455</v>
      </c>
      <c r="M235" s="89">
        <v>1440</v>
      </c>
      <c r="N235" s="89">
        <v>-2230000</v>
      </c>
      <c r="O235" s="113" t="s">
        <v>398</v>
      </c>
      <c r="P235" s="256">
        <v>16326</v>
      </c>
      <c r="Q235" s="258">
        <v>16.3</v>
      </c>
      <c r="R235" s="258">
        <v>16.399999999999999</v>
      </c>
      <c r="S235" s="258">
        <v>16.600000000000001</v>
      </c>
      <c r="T235" s="258">
        <v>16.7</v>
      </c>
      <c r="U235" s="258">
        <v>16.8</v>
      </c>
      <c r="V235" s="258">
        <v>16.899999999999999</v>
      </c>
      <c r="W235" s="258">
        <v>17</v>
      </c>
      <c r="X235" s="258">
        <v>17.100000000000001</v>
      </c>
      <c r="Y235" s="258">
        <v>17.3</v>
      </c>
      <c r="Z235" s="258">
        <v>17.3</v>
      </c>
    </row>
    <row r="236" spans="1:29" ht="13.15" x14ac:dyDescent="0.25">
      <c r="A236" t="s">
        <v>690</v>
      </c>
      <c r="C236" s="139" t="s">
        <v>536</v>
      </c>
      <c r="D236" s="95">
        <f t="shared" si="10"/>
        <v>8.0064716428352792E-3</v>
      </c>
      <c r="E236" t="s">
        <v>578</v>
      </c>
      <c r="F236" s="95">
        <f t="shared" si="11"/>
        <v>1.9495412844036698E-2</v>
      </c>
      <c r="G236" s="136">
        <f t="shared" si="9"/>
        <v>2836.0386730530422</v>
      </c>
      <c r="H236" s="187">
        <v>22869</v>
      </c>
      <c r="I236" s="89">
        <v>22548</v>
      </c>
      <c r="J236" s="89">
        <v>2265</v>
      </c>
      <c r="K236" s="89">
        <v>2230</v>
      </c>
      <c r="L236" s="89">
        <v>2130</v>
      </c>
      <c r="M236" s="89">
        <v>2095</v>
      </c>
      <c r="N236" s="89">
        <v>63947000</v>
      </c>
      <c r="O236" s="113" t="s">
        <v>536</v>
      </c>
      <c r="P236" s="256">
        <v>22869</v>
      </c>
      <c r="Q236" s="258">
        <v>23.2</v>
      </c>
      <c r="R236" s="258">
        <v>23.3</v>
      </c>
      <c r="S236" s="258">
        <v>23.5</v>
      </c>
      <c r="T236" s="258">
        <v>23.8</v>
      </c>
      <c r="U236" s="258">
        <v>24</v>
      </c>
      <c r="V236" s="258">
        <v>24.1</v>
      </c>
      <c r="W236" s="258">
        <v>24.3</v>
      </c>
      <c r="X236" s="258">
        <v>24.4</v>
      </c>
      <c r="Y236" s="258">
        <v>24.5</v>
      </c>
      <c r="Z236" s="258">
        <v>24.7</v>
      </c>
    </row>
    <row r="237" spans="1:29" ht="13.15" x14ac:dyDescent="0.25">
      <c r="A237" t="s">
        <v>692</v>
      </c>
      <c r="C237" s="139" t="s">
        <v>273</v>
      </c>
      <c r="D237" s="95">
        <f t="shared" si="10"/>
        <v>-4.0535515061361103E-3</v>
      </c>
      <c r="E237" t="s">
        <v>173</v>
      </c>
      <c r="F237" s="95">
        <f t="shared" si="11"/>
        <v>2.63013698630137E-2</v>
      </c>
      <c r="G237" s="136">
        <f t="shared" si="9"/>
        <v>570.67157728588074</v>
      </c>
      <c r="H237" s="187">
        <v>26890</v>
      </c>
      <c r="I237" s="89">
        <v>26609</v>
      </c>
      <c r="J237" s="89">
        <v>2405</v>
      </c>
      <c r="K237" s="89">
        <v>2315</v>
      </c>
      <c r="L237" s="89">
        <v>2240</v>
      </c>
      <c r="M237" s="89">
        <v>2165</v>
      </c>
      <c r="N237" s="89">
        <v>15185000</v>
      </c>
      <c r="O237" s="113" t="s">
        <v>273</v>
      </c>
      <c r="P237" s="256">
        <v>26890</v>
      </c>
      <c r="Q237" s="258">
        <v>26.4</v>
      </c>
      <c r="R237" s="258">
        <v>26.3</v>
      </c>
      <c r="S237" s="258">
        <v>26.2</v>
      </c>
      <c r="T237" s="258">
        <v>26.2</v>
      </c>
      <c r="U237" s="258">
        <v>26.2</v>
      </c>
      <c r="V237" s="258">
        <v>26.1</v>
      </c>
      <c r="W237" s="258">
        <v>26.1</v>
      </c>
      <c r="X237" s="258">
        <v>26</v>
      </c>
      <c r="Y237" s="258">
        <v>25.9</v>
      </c>
      <c r="Z237" s="258">
        <v>25.8</v>
      </c>
    </row>
    <row r="238" spans="1:29" s="97" customFormat="1" ht="13.15" x14ac:dyDescent="0.25">
      <c r="A238" s="97" t="s">
        <v>699</v>
      </c>
      <c r="C238" s="139" t="s">
        <v>514</v>
      </c>
      <c r="D238" s="95">
        <f t="shared" si="10"/>
        <v>2.5138752856676463E-3</v>
      </c>
      <c r="E238" t="s">
        <v>578</v>
      </c>
      <c r="F238" s="95">
        <f t="shared" si="11"/>
        <v>1.4767932489451477E-2</v>
      </c>
      <c r="G238" s="136">
        <f t="shared" si="9"/>
        <v>-613.46203017131165</v>
      </c>
      <c r="H238" s="187">
        <v>15315</v>
      </c>
      <c r="I238" s="89">
        <v>15644</v>
      </c>
      <c r="J238" s="89">
        <v>1215</v>
      </c>
      <c r="K238" s="89">
        <v>1210</v>
      </c>
      <c r="L238" s="89">
        <v>1170</v>
      </c>
      <c r="M238" s="89">
        <v>1145</v>
      </c>
      <c r="N238" s="89">
        <v>-9597000</v>
      </c>
      <c r="O238" s="113" t="s">
        <v>514</v>
      </c>
      <c r="P238" s="256">
        <v>15315</v>
      </c>
      <c r="Q238" s="258">
        <v>15.7</v>
      </c>
      <c r="R238" s="258">
        <v>15.8</v>
      </c>
      <c r="S238" s="258">
        <v>15.9</v>
      </c>
      <c r="T238" s="258">
        <v>15.9</v>
      </c>
      <c r="U238" s="258">
        <v>15.8</v>
      </c>
      <c r="V238" s="258">
        <v>15.7</v>
      </c>
      <c r="W238" s="258">
        <v>15.7</v>
      </c>
      <c r="X238" s="258">
        <v>15.7</v>
      </c>
      <c r="Y238" s="258">
        <v>15.7</v>
      </c>
      <c r="Z238" s="258">
        <v>15.7</v>
      </c>
      <c r="AB238"/>
      <c r="AC238"/>
    </row>
    <row r="239" spans="1:29" ht="13.15" x14ac:dyDescent="0.25">
      <c r="A239" t="s">
        <v>694</v>
      </c>
      <c r="C239" s="139" t="s">
        <v>399</v>
      </c>
      <c r="D239" s="95">
        <f t="shared" si="10"/>
        <v>9.3174018050082626E-3</v>
      </c>
      <c r="E239" t="s">
        <v>578</v>
      </c>
      <c r="F239" s="95">
        <f t="shared" si="11"/>
        <v>2.5075987841945289E-2</v>
      </c>
      <c r="G239" s="136">
        <f t="shared" si="9"/>
        <v>4107.4249605055293</v>
      </c>
      <c r="H239" s="187">
        <v>23601</v>
      </c>
      <c r="I239" s="89">
        <v>22788</v>
      </c>
      <c r="J239" s="89">
        <v>1730</v>
      </c>
      <c r="K239" s="89">
        <v>1665</v>
      </c>
      <c r="L239" s="89">
        <v>1620</v>
      </c>
      <c r="M239" s="89">
        <v>1565</v>
      </c>
      <c r="N239" s="89">
        <v>93600000</v>
      </c>
      <c r="O239" s="113" t="s">
        <v>399</v>
      </c>
      <c r="P239" s="256">
        <v>23601</v>
      </c>
      <c r="Q239" s="258">
        <v>23.8</v>
      </c>
      <c r="R239" s="258">
        <v>24.2</v>
      </c>
      <c r="S239" s="258">
        <v>24.6</v>
      </c>
      <c r="T239" s="258">
        <v>24.8</v>
      </c>
      <c r="U239" s="258">
        <v>25</v>
      </c>
      <c r="V239" s="258">
        <v>25.2</v>
      </c>
      <c r="W239" s="258">
        <v>25.3</v>
      </c>
      <c r="X239" s="258">
        <v>25.5</v>
      </c>
      <c r="Y239" s="258">
        <v>25.6</v>
      </c>
      <c r="Z239" s="258">
        <v>25.8</v>
      </c>
    </row>
    <row r="240" spans="1:29" ht="13.15" x14ac:dyDescent="0.25">
      <c r="A240" t="s">
        <v>690</v>
      </c>
      <c r="C240" s="139" t="s">
        <v>472</v>
      </c>
      <c r="D240" s="95">
        <f t="shared" si="10"/>
        <v>4.8672327078037964E-5</v>
      </c>
      <c r="E240" t="s">
        <v>578</v>
      </c>
      <c r="F240" s="95">
        <f t="shared" si="11"/>
        <v>2.0847343644922665E-2</v>
      </c>
      <c r="G240" s="136">
        <f t="shared" si="9"/>
        <v>802.81059291193105</v>
      </c>
      <c r="H240" s="187">
        <v>18491</v>
      </c>
      <c r="I240" s="89">
        <v>17861</v>
      </c>
      <c r="J240" s="89">
        <v>1950</v>
      </c>
      <c r="K240" s="89">
        <v>1875</v>
      </c>
      <c r="L240" s="89">
        <v>1815</v>
      </c>
      <c r="M240" s="89">
        <v>1795</v>
      </c>
      <c r="N240" s="89">
        <v>14339000</v>
      </c>
      <c r="O240" s="113" t="s">
        <v>472</v>
      </c>
      <c r="P240" s="256">
        <v>18491</v>
      </c>
      <c r="Q240" s="258">
        <v>18.2</v>
      </c>
      <c r="R240" s="258">
        <v>18.3</v>
      </c>
      <c r="S240" s="258">
        <v>18.399999999999999</v>
      </c>
      <c r="T240" s="258">
        <v>18.399999999999999</v>
      </c>
      <c r="U240" s="258">
        <v>18.399999999999999</v>
      </c>
      <c r="V240" s="258">
        <v>18.399999999999999</v>
      </c>
      <c r="W240" s="258">
        <v>18.399999999999999</v>
      </c>
      <c r="X240" s="258">
        <v>18.5</v>
      </c>
      <c r="Y240" s="258">
        <v>18.5</v>
      </c>
      <c r="Z240" s="258">
        <v>18.5</v>
      </c>
    </row>
    <row r="241" spans="1:26" ht="13.15" x14ac:dyDescent="0.25">
      <c r="A241" t="s">
        <v>690</v>
      </c>
      <c r="C241" s="139" t="s">
        <v>473</v>
      </c>
      <c r="D241" s="95">
        <f t="shared" si="10"/>
        <v>-1.7151666987858933E-3</v>
      </c>
      <c r="E241" t="s">
        <v>578</v>
      </c>
      <c r="F241" s="95">
        <f t="shared" si="11"/>
        <v>1.5688032272523533E-2</v>
      </c>
      <c r="G241" s="136">
        <f t="shared" si="9"/>
        <v>1937.5751697381183</v>
      </c>
      <c r="H241" s="187">
        <v>25945</v>
      </c>
      <c r="I241" s="89">
        <v>25775</v>
      </c>
      <c r="J241" s="89">
        <v>2885</v>
      </c>
      <c r="K241" s="89">
        <v>2820</v>
      </c>
      <c r="L241" s="89">
        <v>2740</v>
      </c>
      <c r="M241" s="89">
        <v>2710</v>
      </c>
      <c r="N241" s="89">
        <v>49941000</v>
      </c>
      <c r="O241" s="113" t="s">
        <v>473</v>
      </c>
      <c r="P241" s="256">
        <v>25945</v>
      </c>
      <c r="Q241" s="258">
        <v>26</v>
      </c>
      <c r="R241" s="258">
        <v>26.1</v>
      </c>
      <c r="S241" s="258">
        <v>26</v>
      </c>
      <c r="T241" s="258">
        <v>26</v>
      </c>
      <c r="U241" s="258">
        <v>25.9</v>
      </c>
      <c r="V241" s="258">
        <v>25.8</v>
      </c>
      <c r="W241" s="258">
        <v>25.8</v>
      </c>
      <c r="X241" s="258">
        <v>25.6</v>
      </c>
      <c r="Y241" s="258">
        <v>25.6</v>
      </c>
      <c r="Z241" s="258">
        <v>25.5</v>
      </c>
    </row>
    <row r="242" spans="1:26" ht="13.15" x14ac:dyDescent="0.25">
      <c r="A242" t="s">
        <v>698</v>
      </c>
      <c r="C242" s="139" t="s">
        <v>188</v>
      </c>
      <c r="D242" s="95">
        <f t="shared" si="10"/>
        <v>-1.8369328469834936E-5</v>
      </c>
      <c r="E242" t="s">
        <v>544</v>
      </c>
      <c r="F242" s="95">
        <f t="shared" si="11"/>
        <v>9.1509913573970519E-3</v>
      </c>
      <c r="G242" s="136">
        <f t="shared" si="9"/>
        <v>1201.7137741399156</v>
      </c>
      <c r="H242" s="187">
        <v>38107</v>
      </c>
      <c r="I242" s="89">
        <v>39095</v>
      </c>
      <c r="J242" s="89">
        <v>2530</v>
      </c>
      <c r="K242" s="89">
        <v>2460</v>
      </c>
      <c r="L242" s="89">
        <v>2405</v>
      </c>
      <c r="M242" s="89">
        <v>2440</v>
      </c>
      <c r="N242" s="89">
        <v>46981000</v>
      </c>
      <c r="O242" s="113" t="s">
        <v>188</v>
      </c>
      <c r="P242" s="256">
        <v>38107</v>
      </c>
      <c r="Q242" s="258">
        <v>38.200000000000003</v>
      </c>
      <c r="R242" s="258">
        <v>38</v>
      </c>
      <c r="S242" s="258">
        <v>38</v>
      </c>
      <c r="T242" s="258">
        <v>38</v>
      </c>
      <c r="U242" s="258">
        <v>38</v>
      </c>
      <c r="V242" s="258">
        <v>38</v>
      </c>
      <c r="W242" s="258">
        <v>38</v>
      </c>
      <c r="X242" s="258">
        <v>38</v>
      </c>
      <c r="Y242" s="258">
        <v>38</v>
      </c>
      <c r="Z242" s="258">
        <v>38.1</v>
      </c>
    </row>
    <row r="243" spans="1:26" ht="13.15" x14ac:dyDescent="0.25">
      <c r="A243" t="s">
        <v>692</v>
      </c>
      <c r="C243" s="139" t="s">
        <v>274</v>
      </c>
      <c r="D243" s="95">
        <f t="shared" si="10"/>
        <v>3.5979882216395135E-3</v>
      </c>
      <c r="E243" t="s">
        <v>578</v>
      </c>
      <c r="F243" s="95">
        <f t="shared" si="11"/>
        <v>3.3839779005524859E-2</v>
      </c>
      <c r="G243" s="136">
        <f t="shared" si="9"/>
        <v>-1040.3240007043494</v>
      </c>
      <c r="H243" s="187">
        <v>23263</v>
      </c>
      <c r="I243" s="89">
        <v>22716</v>
      </c>
      <c r="J243" s="89">
        <v>1930</v>
      </c>
      <c r="K243" s="89">
        <v>1880</v>
      </c>
      <c r="L243" s="89">
        <v>1745</v>
      </c>
      <c r="M243" s="89">
        <v>1685</v>
      </c>
      <c r="N243" s="89">
        <v>-23632000</v>
      </c>
      <c r="O243" s="113" t="s">
        <v>274</v>
      </c>
      <c r="P243" s="256">
        <v>23263</v>
      </c>
      <c r="Q243" s="258">
        <v>23.3</v>
      </c>
      <c r="R243" s="258">
        <v>23.5</v>
      </c>
      <c r="S243" s="258">
        <v>23.6</v>
      </c>
      <c r="T243" s="258">
        <v>23.6</v>
      </c>
      <c r="U243" s="258">
        <v>23.6</v>
      </c>
      <c r="V243" s="258">
        <v>23.7</v>
      </c>
      <c r="W243" s="258">
        <v>23.8</v>
      </c>
      <c r="X243" s="258">
        <v>23.9</v>
      </c>
      <c r="Y243" s="258">
        <v>24</v>
      </c>
      <c r="Z243" s="258">
        <v>24.1</v>
      </c>
    </row>
    <row r="244" spans="1:26" ht="13.15" x14ac:dyDescent="0.25">
      <c r="A244" t="s">
        <v>695</v>
      </c>
      <c r="C244" s="139" t="s">
        <v>229</v>
      </c>
      <c r="D244" s="95">
        <f t="shared" si="10"/>
        <v>3.7143481928087222E-3</v>
      </c>
      <c r="E244" t="s">
        <v>173</v>
      </c>
      <c r="F244" s="95">
        <f t="shared" si="11"/>
        <v>1.5592515592515593E-2</v>
      </c>
      <c r="G244" s="136">
        <f t="shared" si="9"/>
        <v>1052.2439085032322</v>
      </c>
      <c r="H244" s="187">
        <v>32011</v>
      </c>
      <c r="I244" s="89">
        <v>32176</v>
      </c>
      <c r="J244" s="89">
        <v>2480</v>
      </c>
      <c r="K244" s="89">
        <v>2450</v>
      </c>
      <c r="L244" s="89">
        <v>2360</v>
      </c>
      <c r="M244" s="89">
        <v>2330</v>
      </c>
      <c r="N244" s="89">
        <v>33857000</v>
      </c>
      <c r="O244" s="113" t="s">
        <v>229</v>
      </c>
      <c r="P244" s="256">
        <v>32011</v>
      </c>
      <c r="Q244" s="258">
        <v>32.4</v>
      </c>
      <c r="R244" s="258">
        <v>32.6</v>
      </c>
      <c r="S244" s="258">
        <v>32.700000000000003</v>
      </c>
      <c r="T244" s="258">
        <v>32.799999999999997</v>
      </c>
      <c r="U244" s="258">
        <v>32.9</v>
      </c>
      <c r="V244" s="258">
        <v>33.1</v>
      </c>
      <c r="W244" s="258">
        <v>33.200000000000003</v>
      </c>
      <c r="X244" s="258">
        <v>33.200000000000003</v>
      </c>
      <c r="Y244" s="258">
        <v>33.200000000000003</v>
      </c>
      <c r="Z244" s="258">
        <v>33.200000000000003</v>
      </c>
    </row>
    <row r="245" spans="1:26" ht="13.15" x14ac:dyDescent="0.25">
      <c r="A245" t="s">
        <v>695</v>
      </c>
      <c r="C245" s="139" t="s">
        <v>230</v>
      </c>
      <c r="D245" s="95">
        <f t="shared" si="10"/>
        <v>2.4555932958405255E-3</v>
      </c>
      <c r="E245" t="s">
        <v>578</v>
      </c>
      <c r="F245" s="95">
        <f t="shared" si="11"/>
        <v>2.5139664804469275E-2</v>
      </c>
      <c r="G245" s="136">
        <f t="shared" si="9"/>
        <v>1878.7587066085282</v>
      </c>
      <c r="H245" s="187">
        <v>17959</v>
      </c>
      <c r="I245" s="89">
        <v>17659</v>
      </c>
      <c r="J245" s="89">
        <v>1415</v>
      </c>
      <c r="K245" s="89">
        <v>1365</v>
      </c>
      <c r="L245" s="89">
        <v>1310</v>
      </c>
      <c r="M245" s="89">
        <v>1280</v>
      </c>
      <c r="N245" s="89">
        <v>33177000</v>
      </c>
      <c r="O245" s="113" t="s">
        <v>230</v>
      </c>
      <c r="P245" s="256">
        <v>17959</v>
      </c>
      <c r="Q245" s="258">
        <v>18</v>
      </c>
      <c r="R245" s="258">
        <v>18.100000000000001</v>
      </c>
      <c r="S245" s="258">
        <v>18.2</v>
      </c>
      <c r="T245" s="258">
        <v>18.3</v>
      </c>
      <c r="U245" s="258">
        <v>18.3</v>
      </c>
      <c r="V245" s="258">
        <v>18.3</v>
      </c>
      <c r="W245" s="258">
        <v>18.3</v>
      </c>
      <c r="X245" s="258">
        <v>18.399999999999999</v>
      </c>
      <c r="Y245" s="258">
        <v>18.399999999999999</v>
      </c>
      <c r="Z245" s="258">
        <v>18.399999999999999</v>
      </c>
    </row>
    <row r="246" spans="1:26" ht="13.15" x14ac:dyDescent="0.25">
      <c r="A246" t="s">
        <v>695</v>
      </c>
      <c r="C246" s="139" t="s">
        <v>231</v>
      </c>
      <c r="D246" s="95">
        <f t="shared" si="10"/>
        <v>1.237877923559612E-2</v>
      </c>
      <c r="E246" t="s">
        <v>173</v>
      </c>
      <c r="F246" s="95">
        <f t="shared" si="11"/>
        <v>1.8312101910828025E-2</v>
      </c>
      <c r="G246" s="136">
        <f t="shared" si="9"/>
        <v>949.76985040276179</v>
      </c>
      <c r="H246" s="187">
        <v>17530</v>
      </c>
      <c r="I246" s="89">
        <v>17380</v>
      </c>
      <c r="J246" s="89">
        <v>1635</v>
      </c>
      <c r="K246" s="89">
        <v>1600</v>
      </c>
      <c r="L246" s="89">
        <v>1525</v>
      </c>
      <c r="M246" s="89">
        <v>1520</v>
      </c>
      <c r="N246" s="89">
        <v>16507000</v>
      </c>
      <c r="O246" s="113" t="s">
        <v>231</v>
      </c>
      <c r="P246" s="256">
        <v>17530</v>
      </c>
      <c r="Q246" s="258">
        <v>18.100000000000001</v>
      </c>
      <c r="R246" s="258">
        <v>18.600000000000001</v>
      </c>
      <c r="S246" s="258">
        <v>18.8</v>
      </c>
      <c r="T246" s="258">
        <v>19</v>
      </c>
      <c r="U246" s="258">
        <v>19.100000000000001</v>
      </c>
      <c r="V246" s="258">
        <v>19.3</v>
      </c>
      <c r="W246" s="258">
        <v>19.3</v>
      </c>
      <c r="X246" s="258">
        <v>19.5</v>
      </c>
      <c r="Y246" s="258">
        <v>19.600000000000001</v>
      </c>
      <c r="Z246" s="258">
        <v>19.7</v>
      </c>
    </row>
    <row r="247" spans="1:26" ht="13.15" x14ac:dyDescent="0.25">
      <c r="A247" t="s">
        <v>699</v>
      </c>
      <c r="C247" s="139" t="s">
        <v>515</v>
      </c>
      <c r="D247" s="95">
        <f t="shared" si="10"/>
        <v>-4.5801526717557254E-3</v>
      </c>
      <c r="E247" t="s">
        <v>578</v>
      </c>
      <c r="F247" s="95">
        <f t="shared" si="11"/>
        <v>2.4128686327077747E-2</v>
      </c>
      <c r="G247" s="136">
        <f t="shared" si="9"/>
        <v>-3832.1616871704746</v>
      </c>
      <c r="H247" s="187">
        <v>7860</v>
      </c>
      <c r="I247" s="89">
        <v>7966</v>
      </c>
      <c r="J247" s="89">
        <v>495</v>
      </c>
      <c r="K247" s="89">
        <v>470</v>
      </c>
      <c r="L247" s="89">
        <v>450</v>
      </c>
      <c r="M247" s="89">
        <v>450</v>
      </c>
      <c r="N247" s="89">
        <v>-30527000</v>
      </c>
      <c r="O247" s="113" t="s">
        <v>515</v>
      </c>
      <c r="P247" s="256">
        <v>7860</v>
      </c>
      <c r="Q247" s="258">
        <v>7.8</v>
      </c>
      <c r="R247" s="258">
        <v>7.8</v>
      </c>
      <c r="S247" s="258">
        <v>7.8</v>
      </c>
      <c r="T247" s="258">
        <v>7.8</v>
      </c>
      <c r="U247" s="258">
        <v>7.8</v>
      </c>
      <c r="V247" s="258">
        <v>7.6</v>
      </c>
      <c r="W247" s="258">
        <v>7.6</v>
      </c>
      <c r="X247" s="258">
        <v>7.6</v>
      </c>
      <c r="Y247" s="258">
        <v>7.6</v>
      </c>
      <c r="Z247" s="258">
        <v>7.5</v>
      </c>
    </row>
    <row r="248" spans="1:26" ht="13.15" x14ac:dyDescent="0.25">
      <c r="A248" t="s">
        <v>692</v>
      </c>
      <c r="C248" s="139" t="s">
        <v>275</v>
      </c>
      <c r="D248" s="95">
        <f t="shared" si="10"/>
        <v>-5.1700863930885521E-3</v>
      </c>
      <c r="E248" t="s">
        <v>173</v>
      </c>
      <c r="F248" s="95">
        <f t="shared" si="11"/>
        <v>1.6503352243424446E-2</v>
      </c>
      <c r="G248" s="136">
        <f t="shared" si="9"/>
        <v>877.5204132644559</v>
      </c>
      <c r="H248" s="187">
        <v>29632</v>
      </c>
      <c r="I248" s="89">
        <v>30005</v>
      </c>
      <c r="J248" s="89">
        <v>2520</v>
      </c>
      <c r="K248" s="89">
        <v>2445</v>
      </c>
      <c r="L248" s="89">
        <v>2370</v>
      </c>
      <c r="M248" s="89">
        <v>2360</v>
      </c>
      <c r="N248" s="89">
        <v>26330000</v>
      </c>
      <c r="O248" s="113" t="s">
        <v>275</v>
      </c>
      <c r="P248" s="256">
        <v>29632</v>
      </c>
      <c r="Q248" s="258">
        <v>29.4</v>
      </c>
      <c r="R248" s="258">
        <v>29.3</v>
      </c>
      <c r="S248" s="258">
        <v>29.1</v>
      </c>
      <c r="T248" s="258">
        <v>29</v>
      </c>
      <c r="U248" s="258">
        <v>28.8</v>
      </c>
      <c r="V248" s="258">
        <v>28.7</v>
      </c>
      <c r="W248" s="258">
        <v>28.5</v>
      </c>
      <c r="X248" s="258">
        <v>28.4</v>
      </c>
      <c r="Y248" s="258">
        <v>28.2</v>
      </c>
      <c r="Z248" s="258">
        <v>28.1</v>
      </c>
    </row>
    <row r="249" spans="1:26" ht="13.15" x14ac:dyDescent="0.25">
      <c r="A249" t="s">
        <v>690</v>
      </c>
      <c r="C249" s="139" t="s">
        <v>474</v>
      </c>
      <c r="D249" s="95">
        <f t="shared" si="10"/>
        <v>1.82404219471101E-3</v>
      </c>
      <c r="E249" t="s">
        <v>544</v>
      </c>
      <c r="F249" s="95">
        <f t="shared" si="11"/>
        <v>2.3178807947019868E-2</v>
      </c>
      <c r="G249" s="136">
        <f t="shared" si="9"/>
        <v>789.30118875680478</v>
      </c>
      <c r="H249" s="187">
        <v>54604</v>
      </c>
      <c r="I249" s="89">
        <v>54006</v>
      </c>
      <c r="J249" s="89">
        <v>4720</v>
      </c>
      <c r="K249" s="89">
        <v>4620</v>
      </c>
      <c r="L249" s="89">
        <v>4480</v>
      </c>
      <c r="M249" s="89">
        <v>4300</v>
      </c>
      <c r="N249" s="89">
        <v>42627000</v>
      </c>
      <c r="O249" s="113" t="s">
        <v>474</v>
      </c>
      <c r="P249" s="256">
        <v>54604</v>
      </c>
      <c r="Q249" s="258">
        <v>54</v>
      </c>
      <c r="R249" s="258">
        <v>54.3</v>
      </c>
      <c r="S249" s="258">
        <v>54.4</v>
      </c>
      <c r="T249" s="258">
        <v>54.7</v>
      </c>
      <c r="U249" s="258">
        <v>54.9</v>
      </c>
      <c r="V249" s="258">
        <v>55</v>
      </c>
      <c r="W249" s="258">
        <v>55.2</v>
      </c>
      <c r="X249" s="258">
        <v>55.3</v>
      </c>
      <c r="Y249" s="258">
        <v>55.4</v>
      </c>
      <c r="Z249" s="258">
        <v>55.6</v>
      </c>
    </row>
    <row r="250" spans="1:26" ht="13.15" x14ac:dyDescent="0.25">
      <c r="A250" t="s">
        <v>693</v>
      </c>
      <c r="C250" s="139" t="s">
        <v>209</v>
      </c>
      <c r="D250" s="95">
        <f t="shared" si="10"/>
        <v>-5.6492972634381248E-3</v>
      </c>
      <c r="E250" t="s">
        <v>173</v>
      </c>
      <c r="F250" s="95">
        <f t="shared" si="11"/>
        <v>1.221001221001221E-2</v>
      </c>
      <c r="G250" s="136">
        <f t="shared" si="9"/>
        <v>1042.0372805321369</v>
      </c>
      <c r="H250" s="187">
        <v>25543</v>
      </c>
      <c r="I250" s="89">
        <v>25858</v>
      </c>
      <c r="J250" s="89">
        <v>2120</v>
      </c>
      <c r="K250" s="89">
        <v>2035</v>
      </c>
      <c r="L250" s="89">
        <v>2015</v>
      </c>
      <c r="M250" s="89">
        <v>2020</v>
      </c>
      <c r="N250" s="89">
        <v>26945000</v>
      </c>
      <c r="O250" s="113" t="s">
        <v>209</v>
      </c>
      <c r="P250" s="256">
        <v>25543</v>
      </c>
      <c r="Q250" s="258">
        <v>25.1</v>
      </c>
      <c r="R250" s="258">
        <v>24.8</v>
      </c>
      <c r="S250" s="258">
        <v>24.6</v>
      </c>
      <c r="T250" s="258">
        <v>24.5</v>
      </c>
      <c r="U250" s="258">
        <v>24.4</v>
      </c>
      <c r="V250" s="258">
        <v>24.3</v>
      </c>
      <c r="W250" s="258">
        <v>24.2</v>
      </c>
      <c r="X250" s="258">
        <v>24.1</v>
      </c>
      <c r="Y250" s="258">
        <v>24.1</v>
      </c>
      <c r="Z250" s="258">
        <v>24.1</v>
      </c>
    </row>
    <row r="251" spans="1:26" ht="13.15" x14ac:dyDescent="0.25">
      <c r="A251" t="s">
        <v>691</v>
      </c>
      <c r="C251" s="139" t="s">
        <v>348</v>
      </c>
      <c r="D251" s="95">
        <f t="shared" si="10"/>
        <v>1.0846369004454574E-2</v>
      </c>
      <c r="E251" t="s">
        <v>578</v>
      </c>
      <c r="F251" s="95">
        <f t="shared" si="11"/>
        <v>3.3439490445859872E-2</v>
      </c>
      <c r="G251" s="136">
        <f t="shared" si="9"/>
        <v>3503.462680004397</v>
      </c>
      <c r="H251" s="187">
        <v>9653</v>
      </c>
      <c r="I251" s="89">
        <v>9097</v>
      </c>
      <c r="J251" s="89">
        <v>850</v>
      </c>
      <c r="K251" s="89">
        <v>800</v>
      </c>
      <c r="L251" s="89">
        <v>745</v>
      </c>
      <c r="M251" s="89">
        <v>745</v>
      </c>
      <c r="N251" s="89">
        <v>31871000</v>
      </c>
      <c r="O251" s="113" t="s">
        <v>348</v>
      </c>
      <c r="P251" s="256">
        <v>9653</v>
      </c>
      <c r="Q251" s="258">
        <v>9.6999999999999993</v>
      </c>
      <c r="R251" s="258">
        <v>9.9</v>
      </c>
      <c r="S251" s="258">
        <v>10.1</v>
      </c>
      <c r="T251" s="258">
        <v>10.3</v>
      </c>
      <c r="U251" s="258">
        <v>10.4</v>
      </c>
      <c r="V251" s="258">
        <v>10.5</v>
      </c>
      <c r="W251" s="258">
        <v>10.4</v>
      </c>
      <c r="X251" s="258">
        <v>10.4</v>
      </c>
      <c r="Y251" s="258">
        <v>10.6</v>
      </c>
      <c r="Z251" s="258">
        <v>10.7</v>
      </c>
    </row>
    <row r="252" spans="1:26" ht="13.15" x14ac:dyDescent="0.25">
      <c r="A252" t="s">
        <v>691</v>
      </c>
      <c r="C252" s="139" t="s">
        <v>349</v>
      </c>
      <c r="D252" s="95">
        <f t="shared" si="10"/>
        <v>4.1940285439103402E-3</v>
      </c>
      <c r="E252" t="s">
        <v>578</v>
      </c>
      <c r="F252" s="95">
        <f t="shared" si="11"/>
        <v>1.5819209039548022E-2</v>
      </c>
      <c r="G252" s="136">
        <f t="shared" si="9"/>
        <v>27.03414377249188</v>
      </c>
      <c r="H252" s="187">
        <v>11421</v>
      </c>
      <c r="I252" s="89">
        <v>11393</v>
      </c>
      <c r="J252" s="89">
        <v>1150</v>
      </c>
      <c r="K252" s="89">
        <v>1105</v>
      </c>
      <c r="L252" s="89">
        <v>1090</v>
      </c>
      <c r="M252" s="89">
        <v>1080</v>
      </c>
      <c r="N252" s="89">
        <v>308000</v>
      </c>
      <c r="O252" s="113" t="s">
        <v>349</v>
      </c>
      <c r="P252" s="256">
        <v>11421</v>
      </c>
      <c r="Q252" s="258">
        <v>11.4</v>
      </c>
      <c r="R252" s="258">
        <v>11.4</v>
      </c>
      <c r="S252" s="258">
        <v>11.5</v>
      </c>
      <c r="T252" s="258">
        <v>11.6</v>
      </c>
      <c r="U252" s="258">
        <v>11.6</v>
      </c>
      <c r="V252" s="258">
        <v>11.7</v>
      </c>
      <c r="W252" s="258">
        <v>11.8</v>
      </c>
      <c r="X252" s="258">
        <v>11.8</v>
      </c>
      <c r="Y252" s="258">
        <v>11.9</v>
      </c>
      <c r="Z252" s="258">
        <v>11.9</v>
      </c>
    </row>
    <row r="253" spans="1:26" ht="13.15" x14ac:dyDescent="0.25">
      <c r="A253" t="s">
        <v>693</v>
      </c>
      <c r="C253" s="139" t="s">
        <v>210</v>
      </c>
      <c r="D253" s="95">
        <f t="shared" si="10"/>
        <v>-6.729475100942126E-5</v>
      </c>
      <c r="E253" t="s">
        <v>173</v>
      </c>
      <c r="F253" s="95">
        <f t="shared" si="11"/>
        <v>2.4230186774356385E-2</v>
      </c>
      <c r="G253" s="136">
        <f t="shared" si="9"/>
        <v>806.69070512820508</v>
      </c>
      <c r="H253" s="187">
        <v>29720</v>
      </c>
      <c r="I253" s="89">
        <v>29952</v>
      </c>
      <c r="J253" s="89">
        <v>2600</v>
      </c>
      <c r="K253" s="89">
        <v>2510</v>
      </c>
      <c r="L253" s="89">
        <v>2435</v>
      </c>
      <c r="M253" s="89">
        <v>2360</v>
      </c>
      <c r="N253" s="89">
        <v>24162000</v>
      </c>
      <c r="O253" s="113" t="s">
        <v>210</v>
      </c>
      <c r="P253" s="256">
        <v>29720</v>
      </c>
      <c r="Q253" s="258">
        <v>29.9</v>
      </c>
      <c r="R253" s="258">
        <v>29.9</v>
      </c>
      <c r="S253" s="258">
        <v>29.9</v>
      </c>
      <c r="T253" s="258">
        <v>29.9</v>
      </c>
      <c r="U253" s="258">
        <v>29.9</v>
      </c>
      <c r="V253" s="258">
        <v>29.8</v>
      </c>
      <c r="W253" s="258">
        <v>29.8</v>
      </c>
      <c r="X253" s="258">
        <v>29.8</v>
      </c>
      <c r="Y253" s="258">
        <v>29.8</v>
      </c>
      <c r="Z253" s="258">
        <v>29.7</v>
      </c>
    </row>
    <row r="254" spans="1:26" ht="13.15" x14ac:dyDescent="0.25">
      <c r="A254" t="s">
        <v>690</v>
      </c>
      <c r="C254" s="139" t="s">
        <v>475</v>
      </c>
      <c r="D254" s="95">
        <f t="shared" si="10"/>
        <v>2.6957637997432607E-3</v>
      </c>
      <c r="E254" t="s">
        <v>544</v>
      </c>
      <c r="F254" s="95">
        <f t="shared" si="11"/>
        <v>2.01977845336688E-2</v>
      </c>
      <c r="G254" s="136">
        <f t="shared" si="9"/>
        <v>1197.9936109398643</v>
      </c>
      <c r="H254" s="197">
        <v>90364</v>
      </c>
      <c r="I254" s="89">
        <v>89215</v>
      </c>
      <c r="J254" s="89">
        <v>7590</v>
      </c>
      <c r="K254" s="197">
        <v>7370</v>
      </c>
      <c r="L254" s="197">
        <v>6645</v>
      </c>
      <c r="M254" s="197">
        <v>7012</v>
      </c>
      <c r="N254" s="197">
        <v>106879000</v>
      </c>
      <c r="O254" s="113" t="s">
        <v>475</v>
      </c>
      <c r="P254" s="256">
        <v>90364</v>
      </c>
      <c r="Q254" s="258">
        <v>90.3</v>
      </c>
      <c r="R254" s="258">
        <v>90.8</v>
      </c>
      <c r="S254" s="258">
        <v>91.2</v>
      </c>
      <c r="T254" s="258">
        <v>91.7</v>
      </c>
      <c r="U254" s="258">
        <v>92</v>
      </c>
      <c r="V254" s="258">
        <v>92.3</v>
      </c>
      <c r="W254" s="258">
        <v>92.5</v>
      </c>
      <c r="X254" s="258">
        <v>92.7</v>
      </c>
      <c r="Y254" s="258">
        <v>92.8</v>
      </c>
      <c r="Z254" s="258">
        <v>92.8</v>
      </c>
    </row>
    <row r="255" spans="1:26" ht="13.15" x14ac:dyDescent="0.25">
      <c r="A255" t="s">
        <v>694</v>
      </c>
      <c r="C255" s="139" t="s">
        <v>400</v>
      </c>
      <c r="D255" s="95">
        <f t="shared" si="10"/>
        <v>-3.0015403188876398E-3</v>
      </c>
      <c r="E255" t="s">
        <v>578</v>
      </c>
      <c r="F255" s="95">
        <f t="shared" si="11"/>
        <v>1.6817593790426907E-2</v>
      </c>
      <c r="G255" s="136">
        <f t="shared" si="9"/>
        <v>846.29510997223997</v>
      </c>
      <c r="H255" s="187">
        <v>24021</v>
      </c>
      <c r="I255" s="89">
        <v>23415</v>
      </c>
      <c r="J255" s="89">
        <v>1990</v>
      </c>
      <c r="K255" s="89">
        <v>1965</v>
      </c>
      <c r="L255" s="89">
        <v>1915</v>
      </c>
      <c r="M255" s="89">
        <v>1860</v>
      </c>
      <c r="N255" s="89">
        <v>19816000</v>
      </c>
      <c r="O255" s="113" t="s">
        <v>400</v>
      </c>
      <c r="P255" s="256">
        <v>24021</v>
      </c>
      <c r="Q255" s="258">
        <v>23.5</v>
      </c>
      <c r="R255" s="258">
        <v>23.5</v>
      </c>
      <c r="S255" s="258">
        <v>23.5</v>
      </c>
      <c r="T255" s="258">
        <v>23.6</v>
      </c>
      <c r="U255" s="258">
        <v>23.6</v>
      </c>
      <c r="V255" s="258">
        <v>23.6</v>
      </c>
      <c r="W255" s="258">
        <v>23.6</v>
      </c>
      <c r="X255" s="258">
        <v>23.5</v>
      </c>
      <c r="Y255" s="258">
        <v>23.4</v>
      </c>
      <c r="Z255" s="258">
        <v>23.3</v>
      </c>
    </row>
    <row r="256" spans="1:26" ht="13.15" x14ac:dyDescent="0.25">
      <c r="A256" t="s">
        <v>692</v>
      </c>
      <c r="C256" s="139" t="s">
        <v>276</v>
      </c>
      <c r="D256" s="95">
        <f t="shared" si="10"/>
        <v>-4.2179483939447553E-3</v>
      </c>
      <c r="E256" t="s">
        <v>173</v>
      </c>
      <c r="F256" s="95">
        <f t="shared" si="11"/>
        <v>1.8984729673957902E-2</v>
      </c>
      <c r="G256" s="136">
        <f t="shared" si="9"/>
        <v>2434.523958934712</v>
      </c>
      <c r="H256" s="187">
        <v>39569</v>
      </c>
      <c r="I256" s="89">
        <v>39839</v>
      </c>
      <c r="J256" s="89">
        <v>3155</v>
      </c>
      <c r="K256" s="89">
        <v>3075</v>
      </c>
      <c r="L256" s="89">
        <v>2960</v>
      </c>
      <c r="M256" s="89">
        <v>2925</v>
      </c>
      <c r="N256" s="89">
        <v>96989000</v>
      </c>
      <c r="O256" s="113" t="s">
        <v>276</v>
      </c>
      <c r="P256" s="256">
        <v>39569</v>
      </c>
      <c r="Q256" s="258">
        <v>39.200000000000003</v>
      </c>
      <c r="R256" s="258">
        <v>39.1</v>
      </c>
      <c r="S256" s="258">
        <v>39.1</v>
      </c>
      <c r="T256" s="258">
        <v>39.1</v>
      </c>
      <c r="U256" s="258">
        <v>38.9</v>
      </c>
      <c r="V256" s="258">
        <v>38.799999999999997</v>
      </c>
      <c r="W256" s="258">
        <v>38.5</v>
      </c>
      <c r="X256" s="258">
        <v>38.299999999999997</v>
      </c>
      <c r="Y256" s="258">
        <v>38.1</v>
      </c>
      <c r="Z256" s="258">
        <v>37.9</v>
      </c>
    </row>
    <row r="257" spans="1:26" ht="13.15" x14ac:dyDescent="0.25">
      <c r="A257" t="s">
        <v>691</v>
      </c>
      <c r="C257" s="139" t="s">
        <v>350</v>
      </c>
      <c r="D257" s="95">
        <f t="shared" si="10"/>
        <v>2.0643431635388738E-2</v>
      </c>
      <c r="E257" t="s">
        <v>578</v>
      </c>
      <c r="F257" s="95">
        <f t="shared" si="11"/>
        <v>2.1137026239067054E-2</v>
      </c>
      <c r="G257" s="136">
        <f t="shared" si="9"/>
        <v>-1293.0018137847642</v>
      </c>
      <c r="H257" s="187">
        <v>13428</v>
      </c>
      <c r="I257" s="89">
        <v>13232</v>
      </c>
      <c r="J257" s="89">
        <v>1795</v>
      </c>
      <c r="K257" s="89">
        <v>1755</v>
      </c>
      <c r="L257" s="89">
        <v>1660</v>
      </c>
      <c r="M257" s="89">
        <v>1650</v>
      </c>
      <c r="N257" s="89">
        <v>-17109000</v>
      </c>
      <c r="O257" s="113" t="s">
        <v>350</v>
      </c>
      <c r="P257" s="256">
        <v>13428</v>
      </c>
      <c r="Q257" s="258">
        <v>13.9</v>
      </c>
      <c r="R257" s="258">
        <v>14.1</v>
      </c>
      <c r="S257" s="258">
        <v>14.4</v>
      </c>
      <c r="T257" s="258">
        <v>14.6</v>
      </c>
      <c r="U257" s="258">
        <v>14.7</v>
      </c>
      <c r="V257" s="258">
        <v>15</v>
      </c>
      <c r="W257" s="258">
        <v>15.2</v>
      </c>
      <c r="X257" s="258">
        <v>15.6</v>
      </c>
      <c r="Y257" s="258">
        <v>15.9</v>
      </c>
      <c r="Z257" s="258">
        <v>16.2</v>
      </c>
    </row>
    <row r="258" spans="1:26" ht="13.15" x14ac:dyDescent="0.25">
      <c r="A258" t="s">
        <v>697</v>
      </c>
      <c r="C258" s="139" t="s">
        <v>306</v>
      </c>
      <c r="D258" s="95">
        <f t="shared" si="10"/>
        <v>-8.3456062837506133E-4</v>
      </c>
      <c r="E258" t="s">
        <v>578</v>
      </c>
      <c r="F258" s="95">
        <f t="shared" si="11"/>
        <v>2.4336283185840708E-2</v>
      </c>
      <c r="G258" s="136">
        <f t="shared" si="9"/>
        <v>52.284263959390863</v>
      </c>
      <c r="H258" s="187">
        <v>10185</v>
      </c>
      <c r="I258" s="89">
        <v>9850</v>
      </c>
      <c r="J258" s="89">
        <v>1185</v>
      </c>
      <c r="K258" s="89">
        <v>1155</v>
      </c>
      <c r="L258" s="89">
        <v>1105</v>
      </c>
      <c r="M258" s="89">
        <v>1075</v>
      </c>
      <c r="N258" s="89">
        <v>515000</v>
      </c>
      <c r="O258" s="113" t="s">
        <v>306</v>
      </c>
      <c r="P258" s="256">
        <v>10185</v>
      </c>
      <c r="Q258" s="258">
        <v>10</v>
      </c>
      <c r="R258" s="258">
        <v>10.1</v>
      </c>
      <c r="S258" s="258">
        <v>10.1</v>
      </c>
      <c r="T258" s="258">
        <v>10.1</v>
      </c>
      <c r="U258" s="258">
        <v>10.1</v>
      </c>
      <c r="V258" s="258">
        <v>10.1</v>
      </c>
      <c r="W258" s="258">
        <v>10.1</v>
      </c>
      <c r="X258" s="258">
        <v>10.1</v>
      </c>
      <c r="Y258" s="258">
        <v>10.1</v>
      </c>
      <c r="Z258" s="258">
        <v>10.1</v>
      </c>
    </row>
    <row r="259" spans="1:26" ht="13.15" x14ac:dyDescent="0.25">
      <c r="A259" t="s">
        <v>692</v>
      </c>
      <c r="C259" s="139" t="s">
        <v>277</v>
      </c>
      <c r="D259" s="95">
        <f t="shared" si="10"/>
        <v>2.532286654849329E-5</v>
      </c>
      <c r="E259" t="s">
        <v>578</v>
      </c>
      <c r="F259" s="95">
        <f t="shared" si="11"/>
        <v>2.8608164577306333E-2</v>
      </c>
      <c r="G259" s="136">
        <f t="shared" ref="G259:G320" si="12">N259/I259</f>
        <v>1159.4804296613283</v>
      </c>
      <c r="H259" s="187">
        <v>47388</v>
      </c>
      <c r="I259" s="89">
        <v>46269</v>
      </c>
      <c r="J259" s="89">
        <v>4130</v>
      </c>
      <c r="K259" s="89">
        <v>3940</v>
      </c>
      <c r="L259" s="89">
        <v>3800</v>
      </c>
      <c r="M259" s="89">
        <v>3685</v>
      </c>
      <c r="N259" s="89">
        <v>53648000</v>
      </c>
      <c r="O259" s="113" t="s">
        <v>277</v>
      </c>
      <c r="P259" s="256">
        <v>47388</v>
      </c>
      <c r="Q259" s="258">
        <v>47.1</v>
      </c>
      <c r="R259" s="258">
        <v>47.2</v>
      </c>
      <c r="S259" s="258">
        <v>47.2</v>
      </c>
      <c r="T259" s="258">
        <v>47.2</v>
      </c>
      <c r="U259" s="258">
        <v>47.3</v>
      </c>
      <c r="V259" s="258">
        <v>47.3</v>
      </c>
      <c r="W259" s="258">
        <v>47.3</v>
      </c>
      <c r="X259" s="258">
        <v>47.4</v>
      </c>
      <c r="Y259" s="258">
        <v>47.4</v>
      </c>
      <c r="Z259" s="258">
        <v>47.4</v>
      </c>
    </row>
    <row r="260" spans="1:26" ht="13.15" x14ac:dyDescent="0.25">
      <c r="A260" t="s">
        <v>694</v>
      </c>
      <c r="C260" s="139" t="s">
        <v>401</v>
      </c>
      <c r="D260" s="95">
        <f t="shared" ref="D260:D321" si="13">(SUM(Z260*1000,-P260)/10)/P260</f>
        <v>-2.6636932416526161E-4</v>
      </c>
      <c r="E260" t="s">
        <v>578</v>
      </c>
      <c r="F260" s="95">
        <f t="shared" si="11"/>
        <v>2.2157434402332362E-2</v>
      </c>
      <c r="G260" s="136">
        <f t="shared" si="12"/>
        <v>1739.8851148851149</v>
      </c>
      <c r="H260" s="187">
        <v>32286</v>
      </c>
      <c r="I260" s="89">
        <v>32032</v>
      </c>
      <c r="J260" s="89">
        <v>2230</v>
      </c>
      <c r="K260" s="89">
        <v>2175</v>
      </c>
      <c r="L260" s="89">
        <v>2130</v>
      </c>
      <c r="M260" s="89">
        <v>2040</v>
      </c>
      <c r="N260" s="89">
        <v>55732000</v>
      </c>
      <c r="O260" s="113" t="s">
        <v>401</v>
      </c>
      <c r="P260" s="256">
        <v>32286</v>
      </c>
      <c r="Q260" s="258">
        <v>32.299999999999997</v>
      </c>
      <c r="R260" s="258">
        <v>32.4</v>
      </c>
      <c r="S260" s="258">
        <v>32.4</v>
      </c>
      <c r="T260" s="258">
        <v>32.299999999999997</v>
      </c>
      <c r="U260" s="258">
        <v>32.299999999999997</v>
      </c>
      <c r="V260" s="258">
        <v>32.299999999999997</v>
      </c>
      <c r="W260" s="258">
        <v>32.299999999999997</v>
      </c>
      <c r="X260" s="258">
        <v>32.299999999999997</v>
      </c>
      <c r="Y260" s="258">
        <v>32.200000000000003</v>
      </c>
      <c r="Z260" s="258">
        <v>32.200000000000003</v>
      </c>
    </row>
    <row r="261" spans="1:26" ht="13.15" x14ac:dyDescent="0.25">
      <c r="A261" t="s">
        <v>699</v>
      </c>
      <c r="C261" s="139" t="s">
        <v>516</v>
      </c>
      <c r="D261" s="95">
        <f t="shared" si="13"/>
        <v>-4.2764220141163446E-3</v>
      </c>
      <c r="E261" t="s">
        <v>578</v>
      </c>
      <c r="F261" s="95">
        <f t="shared" si="11"/>
        <v>1.4407092722571112E-2</v>
      </c>
      <c r="G261" s="136">
        <f t="shared" si="12"/>
        <v>744.37845208107046</v>
      </c>
      <c r="H261" s="187">
        <v>43354</v>
      </c>
      <c r="I261" s="89">
        <v>43271</v>
      </c>
      <c r="J261" s="89">
        <v>3485</v>
      </c>
      <c r="K261" s="89">
        <v>3430</v>
      </c>
      <c r="L261" s="89">
        <v>3330</v>
      </c>
      <c r="M261" s="89">
        <v>3290</v>
      </c>
      <c r="N261" s="89">
        <v>32210000</v>
      </c>
      <c r="O261" s="113" t="s">
        <v>516</v>
      </c>
      <c r="P261" s="256">
        <v>43354</v>
      </c>
      <c r="Q261" s="258">
        <v>43.1</v>
      </c>
      <c r="R261" s="258">
        <v>43</v>
      </c>
      <c r="S261" s="258">
        <v>42.8</v>
      </c>
      <c r="T261" s="258">
        <v>42.7</v>
      </c>
      <c r="U261" s="258">
        <v>42.5</v>
      </c>
      <c r="V261" s="258">
        <v>42.3</v>
      </c>
      <c r="W261" s="258">
        <v>42.2</v>
      </c>
      <c r="X261" s="258">
        <v>42</v>
      </c>
      <c r="Y261" s="258">
        <v>41.8</v>
      </c>
      <c r="Z261" s="258">
        <v>41.5</v>
      </c>
    </row>
    <row r="262" spans="1:26" ht="13.15" x14ac:dyDescent="0.25">
      <c r="A262" t="s">
        <v>698</v>
      </c>
      <c r="C262" s="139" t="s">
        <v>189</v>
      </c>
      <c r="D262" s="95">
        <f t="shared" si="13"/>
        <v>-6.7580490914886833E-3</v>
      </c>
      <c r="E262" t="s">
        <v>544</v>
      </c>
      <c r="F262" s="95">
        <f t="shared" ref="F262:F323" si="14">SUM(J262,-M262)/SUM(J262,K262,L262,M262)</f>
        <v>1.37524557956778E-2</v>
      </c>
      <c r="G262" s="136">
        <f t="shared" si="12"/>
        <v>947.69972023624496</v>
      </c>
      <c r="H262" s="187">
        <v>12548</v>
      </c>
      <c r="I262" s="89">
        <v>12868</v>
      </c>
      <c r="J262" s="89">
        <v>655</v>
      </c>
      <c r="K262" s="89">
        <v>650</v>
      </c>
      <c r="L262" s="89">
        <v>620</v>
      </c>
      <c r="M262" s="89">
        <v>620</v>
      </c>
      <c r="N262" s="89">
        <v>12195000</v>
      </c>
      <c r="O262" s="113" t="s">
        <v>189</v>
      </c>
      <c r="P262" s="256">
        <v>12548</v>
      </c>
      <c r="Q262" s="258">
        <v>12.9</v>
      </c>
      <c r="R262" s="258">
        <v>12.9</v>
      </c>
      <c r="S262" s="258">
        <v>12.6</v>
      </c>
      <c r="T262" s="258">
        <v>12.3</v>
      </c>
      <c r="U262" s="258">
        <v>12.1</v>
      </c>
      <c r="V262" s="258">
        <v>12</v>
      </c>
      <c r="W262" s="258">
        <v>11.9</v>
      </c>
      <c r="X262" s="258">
        <v>11.8</v>
      </c>
      <c r="Y262" s="258">
        <v>11.8</v>
      </c>
      <c r="Z262" s="258">
        <v>11.7</v>
      </c>
    </row>
    <row r="263" spans="1:26" ht="13.15" x14ac:dyDescent="0.25">
      <c r="A263" t="s">
        <v>694</v>
      </c>
      <c r="C263" s="139" t="s">
        <v>402</v>
      </c>
      <c r="D263" s="95">
        <f t="shared" si="13"/>
        <v>1.068919688627302E-2</v>
      </c>
      <c r="E263" t="s">
        <v>578</v>
      </c>
      <c r="F263" s="95">
        <f t="shared" si="14"/>
        <v>2.6500638569604086E-2</v>
      </c>
      <c r="G263" s="136">
        <f t="shared" si="12"/>
        <v>2984.2524399736544</v>
      </c>
      <c r="H263" s="187">
        <v>52670</v>
      </c>
      <c r="I263" s="89">
        <v>50103</v>
      </c>
      <c r="J263" s="89">
        <v>4135</v>
      </c>
      <c r="K263" s="89">
        <v>4005</v>
      </c>
      <c r="L263" s="89">
        <v>3800</v>
      </c>
      <c r="M263" s="89">
        <v>3720</v>
      </c>
      <c r="N263" s="89">
        <v>149520000</v>
      </c>
      <c r="O263" s="113" t="s">
        <v>402</v>
      </c>
      <c r="P263" s="256">
        <v>52670</v>
      </c>
      <c r="Q263" s="258">
        <v>53</v>
      </c>
      <c r="R263" s="258">
        <v>53.9</v>
      </c>
      <c r="S263" s="258">
        <v>54.6</v>
      </c>
      <c r="T263" s="258">
        <v>55.3</v>
      </c>
      <c r="U263" s="258">
        <v>55.9</v>
      </c>
      <c r="V263" s="258">
        <v>56.5</v>
      </c>
      <c r="W263" s="258">
        <v>57</v>
      </c>
      <c r="X263" s="258">
        <v>57.5</v>
      </c>
      <c r="Y263" s="258">
        <v>57.9</v>
      </c>
      <c r="Z263" s="258">
        <v>58.3</v>
      </c>
    </row>
    <row r="264" spans="1:26" ht="13.15" x14ac:dyDescent="0.25">
      <c r="A264" t="s">
        <v>691</v>
      </c>
      <c r="C264" s="139" t="s">
        <v>351</v>
      </c>
      <c r="D264" s="95">
        <f t="shared" si="13"/>
        <v>-7.4472745478440451E-4</v>
      </c>
      <c r="E264" t="s">
        <v>544</v>
      </c>
      <c r="F264" s="95">
        <f t="shared" si="14"/>
        <v>2.3959646910466582E-2</v>
      </c>
      <c r="G264" s="136">
        <f t="shared" si="12"/>
        <v>2792.4709206973985</v>
      </c>
      <c r="H264" s="187">
        <v>79895</v>
      </c>
      <c r="I264" s="89">
        <v>79266</v>
      </c>
      <c r="J264" s="89">
        <v>5235</v>
      </c>
      <c r="K264" s="89">
        <v>4990</v>
      </c>
      <c r="L264" s="89">
        <v>4840</v>
      </c>
      <c r="M264" s="89">
        <v>4760</v>
      </c>
      <c r="N264" s="89">
        <v>221348000</v>
      </c>
      <c r="O264" s="113" t="s">
        <v>351</v>
      </c>
      <c r="P264" s="256">
        <v>79895</v>
      </c>
      <c r="Q264" s="258">
        <v>80.2</v>
      </c>
      <c r="R264" s="258">
        <v>80.599999999999994</v>
      </c>
      <c r="S264" s="258">
        <v>80.7</v>
      </c>
      <c r="T264" s="258">
        <v>80.599999999999994</v>
      </c>
      <c r="U264" s="258">
        <v>80.3</v>
      </c>
      <c r="V264" s="258">
        <v>80</v>
      </c>
      <c r="W264" s="258">
        <v>79.599999999999994</v>
      </c>
      <c r="X264" s="258">
        <v>79.3</v>
      </c>
      <c r="Y264" s="258">
        <v>79.3</v>
      </c>
      <c r="Z264" s="258">
        <v>79.3</v>
      </c>
    </row>
    <row r="265" spans="1:26" ht="13.15" x14ac:dyDescent="0.25">
      <c r="A265" t="s">
        <v>692</v>
      </c>
      <c r="C265" s="139" t="s">
        <v>278</v>
      </c>
      <c r="D265" s="95">
        <f t="shared" si="13"/>
        <v>3.2025554918502746E-3</v>
      </c>
      <c r="E265" t="s">
        <v>173</v>
      </c>
      <c r="F265" s="95">
        <f t="shared" si="14"/>
        <v>1.7311608961303463E-2</v>
      </c>
      <c r="G265" s="136">
        <f t="shared" si="12"/>
        <v>-1466.0519698239732</v>
      </c>
      <c r="H265" s="187">
        <v>24418</v>
      </c>
      <c r="I265" s="89">
        <v>23860</v>
      </c>
      <c r="J265" s="89">
        <v>2550</v>
      </c>
      <c r="K265" s="89">
        <v>2485</v>
      </c>
      <c r="L265" s="89">
        <v>2405</v>
      </c>
      <c r="M265" s="89">
        <v>2380</v>
      </c>
      <c r="N265" s="89">
        <v>-34980000</v>
      </c>
      <c r="O265" s="113" t="s">
        <v>278</v>
      </c>
      <c r="P265" s="256">
        <v>24418</v>
      </c>
      <c r="Q265" s="258">
        <v>24.6</v>
      </c>
      <c r="R265" s="258">
        <v>24.7</v>
      </c>
      <c r="S265" s="258">
        <v>24.8</v>
      </c>
      <c r="T265" s="258">
        <v>24.8</v>
      </c>
      <c r="U265" s="258">
        <v>24.9</v>
      </c>
      <c r="V265" s="258">
        <v>25</v>
      </c>
      <c r="W265" s="258">
        <v>25.1</v>
      </c>
      <c r="X265" s="258">
        <v>25.1</v>
      </c>
      <c r="Y265" s="258">
        <v>25.1</v>
      </c>
      <c r="Z265" s="258">
        <v>25.2</v>
      </c>
    </row>
    <row r="266" spans="1:26" ht="13.15" x14ac:dyDescent="0.25">
      <c r="A266" t="s">
        <v>695</v>
      </c>
      <c r="C266" s="139" t="s">
        <v>232</v>
      </c>
      <c r="D266" s="95">
        <f t="shared" si="13"/>
        <v>-2.8451429345617124E-4</v>
      </c>
      <c r="E266" t="s">
        <v>578</v>
      </c>
      <c r="F266" s="95">
        <f t="shared" si="14"/>
        <v>2.1988089784699953E-2</v>
      </c>
      <c r="G266" s="136">
        <f t="shared" si="12"/>
        <v>719.61314646340463</v>
      </c>
      <c r="H266" s="187">
        <v>36905</v>
      </c>
      <c r="I266" s="89">
        <v>36603</v>
      </c>
      <c r="J266" s="89">
        <v>2855</v>
      </c>
      <c r="K266" s="89">
        <v>2770</v>
      </c>
      <c r="L266" s="89">
        <v>2675</v>
      </c>
      <c r="M266" s="89">
        <v>2615</v>
      </c>
      <c r="N266" s="89">
        <v>26340000</v>
      </c>
      <c r="O266" s="113" t="s">
        <v>232</v>
      </c>
      <c r="P266" s="256">
        <v>36905</v>
      </c>
      <c r="Q266" s="258">
        <v>36.9</v>
      </c>
      <c r="R266" s="258">
        <v>37</v>
      </c>
      <c r="S266" s="258">
        <v>37</v>
      </c>
      <c r="T266" s="258">
        <v>37</v>
      </c>
      <c r="U266" s="258">
        <v>37</v>
      </c>
      <c r="V266" s="258">
        <v>37</v>
      </c>
      <c r="W266" s="258">
        <v>36.9</v>
      </c>
      <c r="X266" s="258">
        <v>36.9</v>
      </c>
      <c r="Y266" s="258">
        <v>36.799999999999997</v>
      </c>
      <c r="Z266" s="258">
        <v>36.799999999999997</v>
      </c>
    </row>
    <row r="267" spans="1:26" ht="13.15" x14ac:dyDescent="0.25">
      <c r="A267" t="s">
        <v>701</v>
      </c>
      <c r="C267" s="139" t="s">
        <v>427</v>
      </c>
      <c r="D267" s="95">
        <f t="shared" si="13"/>
        <v>1.9586799034075663E-3</v>
      </c>
      <c r="E267" t="s">
        <v>578</v>
      </c>
      <c r="F267" s="95">
        <f t="shared" si="14"/>
        <v>1.6608996539792389E-2</v>
      </c>
      <c r="G267" s="136">
        <f t="shared" si="12"/>
        <v>1451.529671949871</v>
      </c>
      <c r="H267" s="187">
        <v>22362</v>
      </c>
      <c r="I267" s="89">
        <v>21704</v>
      </c>
      <c r="J267" s="89">
        <v>1880</v>
      </c>
      <c r="K267" s="89">
        <v>1815</v>
      </c>
      <c r="L267" s="89">
        <v>1770</v>
      </c>
      <c r="M267" s="89">
        <v>1760</v>
      </c>
      <c r="N267" s="89">
        <v>31504000</v>
      </c>
      <c r="O267" s="113" t="s">
        <v>427</v>
      </c>
      <c r="P267" s="256">
        <v>22362</v>
      </c>
      <c r="Q267" s="258">
        <v>22.2</v>
      </c>
      <c r="R267" s="258">
        <v>22.4</v>
      </c>
      <c r="S267" s="258">
        <v>22.5</v>
      </c>
      <c r="T267" s="258">
        <v>22.6</v>
      </c>
      <c r="U267" s="258">
        <v>22.7</v>
      </c>
      <c r="V267" s="258">
        <v>22.7</v>
      </c>
      <c r="W267" s="258">
        <v>22.8</v>
      </c>
      <c r="X267" s="258">
        <v>22.8</v>
      </c>
      <c r="Y267" s="258">
        <v>22.8</v>
      </c>
      <c r="Z267" s="258">
        <v>22.8</v>
      </c>
    </row>
    <row r="268" spans="1:26" ht="13.15" x14ac:dyDescent="0.25">
      <c r="A268" t="s">
        <v>692</v>
      </c>
      <c r="C268" s="139" t="s">
        <v>279</v>
      </c>
      <c r="D268" s="95">
        <f t="shared" si="13"/>
        <v>-2.2448654672822797E-3</v>
      </c>
      <c r="E268" t="s">
        <v>173</v>
      </c>
      <c r="F268" s="95">
        <f t="shared" si="14"/>
        <v>2.0427553444180523E-2</v>
      </c>
      <c r="G268" s="136">
        <f t="shared" si="12"/>
        <v>376.41479607967119</v>
      </c>
      <c r="H268" s="187">
        <v>31405</v>
      </c>
      <c r="I268" s="89">
        <v>31630</v>
      </c>
      <c r="J268" s="89">
        <v>2755</v>
      </c>
      <c r="K268" s="89">
        <v>2670</v>
      </c>
      <c r="L268" s="89">
        <v>2560</v>
      </c>
      <c r="M268" s="89">
        <v>2540</v>
      </c>
      <c r="N268" s="89">
        <v>11906000</v>
      </c>
      <c r="O268" s="113" t="s">
        <v>279</v>
      </c>
      <c r="P268" s="256">
        <v>31405</v>
      </c>
      <c r="Q268" s="258">
        <v>31.4</v>
      </c>
      <c r="R268" s="258">
        <v>31.2</v>
      </c>
      <c r="S268" s="258">
        <v>30.8</v>
      </c>
      <c r="T268" s="258">
        <v>30.4</v>
      </c>
      <c r="U268" s="258">
        <v>30.4</v>
      </c>
      <c r="V268" s="258">
        <v>30.4</v>
      </c>
      <c r="W268" s="258">
        <v>30.4</v>
      </c>
      <c r="X268" s="258">
        <v>30.5</v>
      </c>
      <c r="Y268" s="258">
        <v>30.6</v>
      </c>
      <c r="Z268" s="258">
        <v>30.7</v>
      </c>
    </row>
    <row r="269" spans="1:26" ht="13.15" x14ac:dyDescent="0.25">
      <c r="A269" t="s">
        <v>697</v>
      </c>
      <c r="C269" s="139" t="s">
        <v>307</v>
      </c>
      <c r="D269" s="95">
        <f t="shared" si="13"/>
        <v>1.1742795530288178E-2</v>
      </c>
      <c r="E269" t="s">
        <v>578</v>
      </c>
      <c r="F269" s="95">
        <f t="shared" si="14"/>
        <v>2.3952095808383235E-2</v>
      </c>
      <c r="G269" s="136">
        <f t="shared" si="12"/>
        <v>1380.1327250103691</v>
      </c>
      <c r="H269" s="187">
        <v>5101</v>
      </c>
      <c r="I269" s="89">
        <v>4822</v>
      </c>
      <c r="J269" s="89">
        <v>660</v>
      </c>
      <c r="K269" s="89">
        <v>630</v>
      </c>
      <c r="L269" s="89">
        <v>615</v>
      </c>
      <c r="M269" s="89">
        <v>600</v>
      </c>
      <c r="N269" s="89">
        <v>6655000</v>
      </c>
      <c r="O269" s="113" t="s">
        <v>307</v>
      </c>
      <c r="P269" s="256">
        <v>5101</v>
      </c>
      <c r="Q269" s="258">
        <v>5.2</v>
      </c>
      <c r="R269" s="258">
        <v>5.3</v>
      </c>
      <c r="S269" s="258">
        <v>5.4</v>
      </c>
      <c r="T269" s="258">
        <v>5.5</v>
      </c>
      <c r="U269" s="258">
        <v>5.5</v>
      </c>
      <c r="V269" s="258">
        <v>5.6</v>
      </c>
      <c r="W269" s="258">
        <v>5.6</v>
      </c>
      <c r="X269" s="258">
        <v>5.6</v>
      </c>
      <c r="Y269" s="258">
        <v>5.7</v>
      </c>
      <c r="Z269" s="258">
        <v>5.7</v>
      </c>
    </row>
    <row r="270" spans="1:26" ht="13.15" x14ac:dyDescent="0.25">
      <c r="A270" t="s">
        <v>690</v>
      </c>
      <c r="C270" s="139" t="s">
        <v>476</v>
      </c>
      <c r="D270" s="95">
        <f t="shared" si="13"/>
        <v>-8.3669042454291923E-4</v>
      </c>
      <c r="E270" t="s">
        <v>578</v>
      </c>
      <c r="F270" s="95">
        <f t="shared" si="14"/>
        <v>1.7119838872104734E-2</v>
      </c>
      <c r="G270" s="136">
        <f t="shared" si="12"/>
        <v>2492.9666508613877</v>
      </c>
      <c r="H270" s="187">
        <v>12908</v>
      </c>
      <c r="I270" s="89">
        <v>12654</v>
      </c>
      <c r="J270" s="89">
        <v>1280</v>
      </c>
      <c r="K270" s="89">
        <v>1240</v>
      </c>
      <c r="L270" s="89">
        <v>1250</v>
      </c>
      <c r="M270" s="89">
        <v>1195</v>
      </c>
      <c r="N270" s="89">
        <v>31546000</v>
      </c>
      <c r="O270" s="113" t="s">
        <v>476</v>
      </c>
      <c r="P270" s="256">
        <v>12908</v>
      </c>
      <c r="Q270" s="258">
        <v>12.8</v>
      </c>
      <c r="R270" s="258">
        <v>12.8</v>
      </c>
      <c r="S270" s="258">
        <v>12.9</v>
      </c>
      <c r="T270" s="258">
        <v>12.9</v>
      </c>
      <c r="U270" s="258">
        <v>12.9</v>
      </c>
      <c r="V270" s="258">
        <v>12.9</v>
      </c>
      <c r="W270" s="258">
        <v>12.9</v>
      </c>
      <c r="X270" s="258">
        <v>12.9</v>
      </c>
      <c r="Y270" s="258">
        <v>12.9</v>
      </c>
      <c r="Z270" s="258">
        <v>12.8</v>
      </c>
    </row>
    <row r="271" spans="1:26" ht="13.15" x14ac:dyDescent="0.25">
      <c r="A271" t="s">
        <v>692</v>
      </c>
      <c r="C271" s="139" t="s">
        <v>280</v>
      </c>
      <c r="D271" s="95">
        <f t="shared" si="13"/>
        <v>-3.4364261168384882E-4</v>
      </c>
      <c r="E271" t="s">
        <v>173</v>
      </c>
      <c r="F271" s="95">
        <f t="shared" si="14"/>
        <v>2.8045207199665131E-2</v>
      </c>
      <c r="G271" s="136">
        <f t="shared" si="12"/>
        <v>473.03494451068514</v>
      </c>
      <c r="H271" s="187">
        <v>43650</v>
      </c>
      <c r="I271" s="89">
        <v>43612</v>
      </c>
      <c r="J271" s="89">
        <v>3150</v>
      </c>
      <c r="K271" s="89">
        <v>3065</v>
      </c>
      <c r="L271" s="89">
        <v>2915</v>
      </c>
      <c r="M271" s="89">
        <v>2815</v>
      </c>
      <c r="N271" s="89">
        <v>20630000</v>
      </c>
      <c r="O271" s="113" t="s">
        <v>280</v>
      </c>
      <c r="P271" s="256">
        <v>43650</v>
      </c>
      <c r="Q271" s="258">
        <v>44</v>
      </c>
      <c r="R271" s="258">
        <v>44</v>
      </c>
      <c r="S271" s="258">
        <v>43.8</v>
      </c>
      <c r="T271" s="258">
        <v>43.7</v>
      </c>
      <c r="U271" s="258">
        <v>43.6</v>
      </c>
      <c r="V271" s="258">
        <v>43.6</v>
      </c>
      <c r="W271" s="258">
        <v>43.5</v>
      </c>
      <c r="X271" s="258">
        <v>43.5</v>
      </c>
      <c r="Y271" s="258">
        <v>43.5</v>
      </c>
      <c r="Z271" s="258">
        <v>43.5</v>
      </c>
    </row>
    <row r="272" spans="1:26" ht="13.15" x14ac:dyDescent="0.25">
      <c r="A272" t="s">
        <v>697</v>
      </c>
      <c r="C272" s="139" t="s">
        <v>308</v>
      </c>
      <c r="D272" s="95">
        <f t="shared" si="13"/>
        <v>1.0719754977029097E-3</v>
      </c>
      <c r="E272" t="s">
        <v>578</v>
      </c>
      <c r="F272" s="95">
        <f t="shared" si="14"/>
        <v>2.9476787030213707E-2</v>
      </c>
      <c r="G272" s="136">
        <f t="shared" si="12"/>
        <v>871.69534200587498</v>
      </c>
      <c r="H272" s="187">
        <v>19590</v>
      </c>
      <c r="I272" s="89">
        <v>19064</v>
      </c>
      <c r="J272" s="89">
        <v>1800</v>
      </c>
      <c r="K272" s="89">
        <v>1745</v>
      </c>
      <c r="L272" s="89">
        <v>1640</v>
      </c>
      <c r="M272" s="89">
        <v>1600</v>
      </c>
      <c r="N272" s="89">
        <v>16618000</v>
      </c>
      <c r="O272" s="113" t="s">
        <v>308</v>
      </c>
      <c r="P272" s="256">
        <v>19590</v>
      </c>
      <c r="Q272" s="258">
        <v>19.5</v>
      </c>
      <c r="R272" s="258">
        <v>19.5</v>
      </c>
      <c r="S272" s="258">
        <v>19.5</v>
      </c>
      <c r="T272" s="258">
        <v>19.600000000000001</v>
      </c>
      <c r="U272" s="258">
        <v>19.600000000000001</v>
      </c>
      <c r="V272" s="258">
        <v>19.7</v>
      </c>
      <c r="W272" s="258">
        <v>19.7</v>
      </c>
      <c r="X272" s="258">
        <v>19.8</v>
      </c>
      <c r="Y272" s="258">
        <v>19.8</v>
      </c>
      <c r="Z272" s="258">
        <v>19.8</v>
      </c>
    </row>
    <row r="273" spans="1:26" ht="13.15" x14ac:dyDescent="0.25">
      <c r="A273" t="s">
        <v>694</v>
      </c>
      <c r="C273" s="139" t="s">
        <v>403</v>
      </c>
      <c r="D273" s="95">
        <f t="shared" si="13"/>
        <v>-2.8869657131532006E-3</v>
      </c>
      <c r="E273" t="s">
        <v>173</v>
      </c>
      <c r="F273" s="95">
        <f t="shared" si="14"/>
        <v>1.0917030567685589E-2</v>
      </c>
      <c r="G273" s="136">
        <f t="shared" si="12"/>
        <v>1173.885153070253</v>
      </c>
      <c r="H273" s="187">
        <v>45411</v>
      </c>
      <c r="I273" s="89">
        <v>45208</v>
      </c>
      <c r="J273" s="89">
        <v>3510</v>
      </c>
      <c r="K273" s="89">
        <v>3490</v>
      </c>
      <c r="L273" s="89">
        <v>3380</v>
      </c>
      <c r="M273" s="89">
        <v>3360</v>
      </c>
      <c r="N273" s="89">
        <v>53069000</v>
      </c>
      <c r="O273" s="113" t="s">
        <v>403</v>
      </c>
      <c r="P273" s="256">
        <v>45411</v>
      </c>
      <c r="Q273" s="258">
        <v>44.9</v>
      </c>
      <c r="R273" s="258">
        <v>44.8</v>
      </c>
      <c r="S273" s="258">
        <v>44.6</v>
      </c>
      <c r="T273" s="258">
        <v>44.3</v>
      </c>
      <c r="U273" s="258">
        <v>44.1</v>
      </c>
      <c r="V273" s="258">
        <v>44.1</v>
      </c>
      <c r="W273" s="258">
        <v>44.1</v>
      </c>
      <c r="X273" s="258">
        <v>44.1</v>
      </c>
      <c r="Y273" s="258">
        <v>44.1</v>
      </c>
      <c r="Z273" s="258">
        <v>44.1</v>
      </c>
    </row>
    <row r="274" spans="1:26" ht="13.15" x14ac:dyDescent="0.25">
      <c r="A274" t="s">
        <v>692</v>
      </c>
      <c r="C274" s="139" t="s">
        <v>281</v>
      </c>
      <c r="D274" s="95">
        <f t="shared" si="13"/>
        <v>-5.051622418879056E-3</v>
      </c>
      <c r="E274" t="s">
        <v>578</v>
      </c>
      <c r="F274" s="95">
        <f t="shared" si="14"/>
        <v>1.4975041597337771E-2</v>
      </c>
      <c r="G274" s="136">
        <f t="shared" si="12"/>
        <v>253.90625</v>
      </c>
      <c r="H274" s="187">
        <v>10848</v>
      </c>
      <c r="I274" s="89">
        <v>11008</v>
      </c>
      <c r="J274" s="89">
        <v>785</v>
      </c>
      <c r="K274" s="89">
        <v>755</v>
      </c>
      <c r="L274" s="89">
        <v>725</v>
      </c>
      <c r="M274" s="89">
        <v>740</v>
      </c>
      <c r="N274" s="89">
        <v>2795000</v>
      </c>
      <c r="O274" s="113" t="s">
        <v>281</v>
      </c>
      <c r="P274" s="256">
        <v>10848</v>
      </c>
      <c r="Q274" s="258">
        <v>10.9</v>
      </c>
      <c r="R274" s="258">
        <v>10.9</v>
      </c>
      <c r="S274" s="258">
        <v>10.8</v>
      </c>
      <c r="T274" s="258">
        <v>10.8</v>
      </c>
      <c r="U274" s="258">
        <v>10.7</v>
      </c>
      <c r="V274" s="258">
        <v>10.7</v>
      </c>
      <c r="W274" s="258">
        <v>10.5</v>
      </c>
      <c r="X274" s="258">
        <v>10.5</v>
      </c>
      <c r="Y274" s="258">
        <v>10.4</v>
      </c>
      <c r="Z274" s="258">
        <v>10.3</v>
      </c>
    </row>
    <row r="275" spans="1:26" ht="13.15" x14ac:dyDescent="0.25">
      <c r="A275" t="s">
        <v>695</v>
      </c>
      <c r="C275" s="139" t="s">
        <v>233</v>
      </c>
      <c r="D275" s="95">
        <f t="shared" si="13"/>
        <v>3.7415413781300192E-3</v>
      </c>
      <c r="E275" t="s">
        <v>173</v>
      </c>
      <c r="F275" s="95">
        <f t="shared" si="14"/>
        <v>1.8109540636042403E-2</v>
      </c>
      <c r="G275" s="136">
        <f t="shared" si="12"/>
        <v>1422.6724528100956</v>
      </c>
      <c r="H275" s="187">
        <v>37979</v>
      </c>
      <c r="I275" s="89">
        <v>37561</v>
      </c>
      <c r="J275" s="89">
        <v>2950</v>
      </c>
      <c r="K275" s="89">
        <v>2880</v>
      </c>
      <c r="L275" s="89">
        <v>2745</v>
      </c>
      <c r="M275" s="89">
        <v>2745</v>
      </c>
      <c r="N275" s="89">
        <v>53437000</v>
      </c>
      <c r="O275" s="113" t="s">
        <v>233</v>
      </c>
      <c r="P275" s="256">
        <v>37979</v>
      </c>
      <c r="Q275" s="258">
        <v>38.299999999999997</v>
      </c>
      <c r="R275" s="258">
        <v>38.5</v>
      </c>
      <c r="S275" s="258">
        <v>38.700000000000003</v>
      </c>
      <c r="T275" s="258">
        <v>38.9</v>
      </c>
      <c r="U275" s="258">
        <v>39</v>
      </c>
      <c r="V275" s="258">
        <v>39.1</v>
      </c>
      <c r="W275" s="258">
        <v>39.200000000000003</v>
      </c>
      <c r="X275" s="258">
        <v>39.299999999999997</v>
      </c>
      <c r="Y275" s="258">
        <v>39.299999999999997</v>
      </c>
      <c r="Z275" s="258">
        <v>39.4</v>
      </c>
    </row>
    <row r="276" spans="1:26" ht="13.15" x14ac:dyDescent="0.25">
      <c r="A276" t="s">
        <v>694</v>
      </c>
      <c r="C276" s="139" t="s">
        <v>404</v>
      </c>
      <c r="D276" s="95">
        <f t="shared" si="13"/>
        <v>2.0370914936579818E-2</v>
      </c>
      <c r="E276" t="s">
        <v>544</v>
      </c>
      <c r="F276" s="95">
        <f t="shared" si="14"/>
        <v>2.3934426229508195E-2</v>
      </c>
      <c r="G276" s="136">
        <f t="shared" si="12"/>
        <v>4298.8721004469035</v>
      </c>
      <c r="H276" s="187">
        <v>51009</v>
      </c>
      <c r="I276" s="89">
        <v>46990</v>
      </c>
      <c r="J276" s="89">
        <v>4005</v>
      </c>
      <c r="K276" s="89">
        <v>3875</v>
      </c>
      <c r="L276" s="89">
        <v>3730</v>
      </c>
      <c r="M276" s="89">
        <v>3640</v>
      </c>
      <c r="N276" s="89">
        <v>202004000</v>
      </c>
      <c r="O276" s="113" t="s">
        <v>404</v>
      </c>
      <c r="P276" s="256">
        <v>51009</v>
      </c>
      <c r="Q276" s="258">
        <v>50.6</v>
      </c>
      <c r="R276" s="258">
        <v>51.8</v>
      </c>
      <c r="S276" s="258">
        <v>53.1</v>
      </c>
      <c r="T276" s="258">
        <v>54.7</v>
      </c>
      <c r="U276" s="258">
        <v>56</v>
      </c>
      <c r="V276" s="258">
        <v>57.2</v>
      </c>
      <c r="W276" s="258">
        <v>58.4</v>
      </c>
      <c r="X276" s="258">
        <v>59.4</v>
      </c>
      <c r="Y276" s="258">
        <v>60.6</v>
      </c>
      <c r="Z276" s="258">
        <v>61.4</v>
      </c>
    </row>
    <row r="277" spans="1:26" ht="13.15" x14ac:dyDescent="0.25">
      <c r="A277" t="s">
        <v>699</v>
      </c>
      <c r="C277" s="139" t="s">
        <v>517</v>
      </c>
      <c r="D277" s="95">
        <f t="shared" si="13"/>
        <v>-1.8944519621109609E-3</v>
      </c>
      <c r="E277" t="s">
        <v>173</v>
      </c>
      <c r="F277" s="95">
        <f t="shared" si="14"/>
        <v>9.2081031307550652E-3</v>
      </c>
      <c r="G277" s="136">
        <f t="shared" si="12"/>
        <v>-518.58524559074533</v>
      </c>
      <c r="H277" s="187">
        <v>20692</v>
      </c>
      <c r="I277" s="89">
        <v>21092</v>
      </c>
      <c r="J277" s="89">
        <v>1385</v>
      </c>
      <c r="K277" s="89">
        <v>1365</v>
      </c>
      <c r="L277" s="89">
        <v>1345</v>
      </c>
      <c r="M277" s="89">
        <v>1335</v>
      </c>
      <c r="N277" s="89">
        <v>-10938000</v>
      </c>
      <c r="O277" s="113" t="s">
        <v>517</v>
      </c>
      <c r="P277" s="256">
        <v>20692</v>
      </c>
      <c r="Q277" s="258">
        <v>20.6</v>
      </c>
      <c r="R277" s="258">
        <v>20.6</v>
      </c>
      <c r="S277" s="258">
        <v>20.6</v>
      </c>
      <c r="T277" s="258">
        <v>20.6</v>
      </c>
      <c r="U277" s="258">
        <v>20.6</v>
      </c>
      <c r="V277" s="258">
        <v>20.5</v>
      </c>
      <c r="W277" s="258">
        <v>20.5</v>
      </c>
      <c r="X277" s="258">
        <v>20.399999999999999</v>
      </c>
      <c r="Y277" s="258">
        <v>20.399999999999999</v>
      </c>
      <c r="Z277" s="258">
        <v>20.3</v>
      </c>
    </row>
    <row r="278" spans="1:26" ht="13.15" x14ac:dyDescent="0.25">
      <c r="A278" t="s">
        <v>699</v>
      </c>
      <c r="C278" s="139" t="s">
        <v>518</v>
      </c>
      <c r="D278" s="95">
        <f t="shared" si="13"/>
        <v>3.4500775004789354E-3</v>
      </c>
      <c r="E278" t="s">
        <v>544</v>
      </c>
      <c r="F278" s="95">
        <f t="shared" si="14"/>
        <v>1.6536380036079375E-2</v>
      </c>
      <c r="G278" s="136">
        <f t="shared" si="12"/>
        <v>1404.8784830410398</v>
      </c>
      <c r="H278" s="187">
        <v>57419</v>
      </c>
      <c r="I278" s="89">
        <v>56165</v>
      </c>
      <c r="J278" s="89">
        <v>4320</v>
      </c>
      <c r="K278" s="89">
        <v>4180</v>
      </c>
      <c r="L278" s="89">
        <v>4085</v>
      </c>
      <c r="M278" s="89">
        <v>4045</v>
      </c>
      <c r="N278" s="89">
        <v>78905000</v>
      </c>
      <c r="O278" s="113" t="s">
        <v>518</v>
      </c>
      <c r="P278" s="256">
        <v>57419</v>
      </c>
      <c r="Q278" s="258">
        <v>57.3</v>
      </c>
      <c r="R278" s="258">
        <v>57.5</v>
      </c>
      <c r="S278" s="258">
        <v>57.8</v>
      </c>
      <c r="T278" s="258">
        <v>58</v>
      </c>
      <c r="U278" s="258">
        <v>58.3</v>
      </c>
      <c r="V278" s="258">
        <v>58.5</v>
      </c>
      <c r="W278" s="258">
        <v>58.8</v>
      </c>
      <c r="X278" s="258">
        <v>59</v>
      </c>
      <c r="Y278" s="258">
        <v>59.2</v>
      </c>
      <c r="Z278" s="258">
        <v>59.4</v>
      </c>
    </row>
    <row r="279" spans="1:26" ht="13.15" x14ac:dyDescent="0.25">
      <c r="A279" t="s">
        <v>690</v>
      </c>
      <c r="C279" s="139" t="s">
        <v>477</v>
      </c>
      <c r="D279" s="95">
        <f t="shared" si="13"/>
        <v>2.9939499151433492E-3</v>
      </c>
      <c r="E279" t="s">
        <v>544</v>
      </c>
      <c r="F279" s="95">
        <f t="shared" si="14"/>
        <v>1.5894039735099338E-2</v>
      </c>
      <c r="G279" s="136">
        <f t="shared" si="12"/>
        <v>1171.0794823444321</v>
      </c>
      <c r="H279" s="187">
        <v>77189</v>
      </c>
      <c r="I279" s="89">
        <v>77426</v>
      </c>
      <c r="J279" s="89">
        <v>5850</v>
      </c>
      <c r="K279" s="89">
        <v>5750</v>
      </c>
      <c r="L279" s="89">
        <v>5560</v>
      </c>
      <c r="M279" s="89">
        <v>5490</v>
      </c>
      <c r="N279" s="89">
        <v>90672000</v>
      </c>
      <c r="O279" s="113" t="s">
        <v>477</v>
      </c>
      <c r="P279" s="256">
        <v>77189</v>
      </c>
      <c r="Q279" s="258">
        <v>77</v>
      </c>
      <c r="R279" s="258">
        <v>77.3</v>
      </c>
      <c r="S279" s="258">
        <v>77.5</v>
      </c>
      <c r="T279" s="258">
        <v>77.7</v>
      </c>
      <c r="U279" s="258">
        <v>77.900000000000006</v>
      </c>
      <c r="V279" s="258">
        <v>78.099999999999994</v>
      </c>
      <c r="W279" s="258">
        <v>78.3</v>
      </c>
      <c r="X279" s="258">
        <v>78.599999999999994</v>
      </c>
      <c r="Y279" s="258">
        <v>79.099999999999994</v>
      </c>
      <c r="Z279" s="258">
        <v>79.5</v>
      </c>
    </row>
    <row r="280" spans="1:26" ht="13.15" x14ac:dyDescent="0.25">
      <c r="A280" t="s">
        <v>694</v>
      </c>
      <c r="C280" s="139" t="s">
        <v>405</v>
      </c>
      <c r="D280" s="95">
        <f t="shared" si="13"/>
        <v>5.3710235169322227E-3</v>
      </c>
      <c r="E280" t="s">
        <v>544</v>
      </c>
      <c r="F280" s="95">
        <f t="shared" si="14"/>
        <v>2.7572006127112473E-2</v>
      </c>
      <c r="G280" s="136">
        <f t="shared" si="12"/>
        <v>2165.6151624314411</v>
      </c>
      <c r="H280" s="187">
        <v>638221</v>
      </c>
      <c r="I280" s="89">
        <v>616260</v>
      </c>
      <c r="J280" s="89">
        <v>52950</v>
      </c>
      <c r="K280" s="89">
        <v>50425</v>
      </c>
      <c r="L280" s="89">
        <v>48280</v>
      </c>
      <c r="M280" s="89">
        <v>47460</v>
      </c>
      <c r="N280" s="89">
        <v>1334582000</v>
      </c>
      <c r="O280" s="113" t="s">
        <v>405</v>
      </c>
      <c r="P280" s="256">
        <v>638221</v>
      </c>
      <c r="Q280" s="258">
        <v>634.70000000000005</v>
      </c>
      <c r="R280" s="258">
        <v>641.4</v>
      </c>
      <c r="S280" s="258">
        <v>645.70000000000005</v>
      </c>
      <c r="T280" s="258">
        <v>648.70000000000005</v>
      </c>
      <c r="U280" s="258">
        <v>651.5</v>
      </c>
      <c r="V280" s="258">
        <v>655.6</v>
      </c>
      <c r="W280" s="258">
        <v>659.7</v>
      </c>
      <c r="X280" s="258">
        <v>664.1</v>
      </c>
      <c r="Y280" s="258">
        <v>668.3</v>
      </c>
      <c r="Z280" s="258">
        <v>672.5</v>
      </c>
    </row>
    <row r="281" spans="1:26" ht="13.15" x14ac:dyDescent="0.25">
      <c r="A281" t="s">
        <v>692</v>
      </c>
      <c r="C281" s="139" t="s">
        <v>282</v>
      </c>
      <c r="D281" s="95">
        <f t="shared" si="13"/>
        <v>7.0234113712374585E-3</v>
      </c>
      <c r="E281" t="s">
        <v>578</v>
      </c>
      <c r="F281" s="95">
        <f t="shared" si="14"/>
        <v>2.3809523809523808E-2</v>
      </c>
      <c r="G281" s="136">
        <f t="shared" si="12"/>
        <v>-4354.6895640686926</v>
      </c>
      <c r="H281" s="187">
        <v>1495</v>
      </c>
      <c r="I281" s="89">
        <v>1514</v>
      </c>
      <c r="J281" s="89">
        <v>165</v>
      </c>
      <c r="K281" s="89">
        <v>160</v>
      </c>
      <c r="L281" s="89">
        <v>155</v>
      </c>
      <c r="M281" s="89">
        <v>150</v>
      </c>
      <c r="N281" s="89">
        <v>-6593000</v>
      </c>
      <c r="O281" s="113" t="s">
        <v>282</v>
      </c>
      <c r="P281" s="256">
        <v>1495</v>
      </c>
      <c r="Q281" s="258">
        <v>1.6</v>
      </c>
      <c r="R281" s="258">
        <v>1.6</v>
      </c>
      <c r="S281" s="258">
        <v>1.7</v>
      </c>
      <c r="T281" s="258">
        <v>1.7</v>
      </c>
      <c r="U281" s="258">
        <v>1.7</v>
      </c>
      <c r="V281" s="258">
        <v>1.6</v>
      </c>
      <c r="W281" s="258">
        <v>1.6</v>
      </c>
      <c r="X281" s="258">
        <v>1.6</v>
      </c>
      <c r="Y281" s="258">
        <v>1.6</v>
      </c>
      <c r="Z281" s="258">
        <v>1.6</v>
      </c>
    </row>
    <row r="282" spans="1:26" ht="13.15" x14ac:dyDescent="0.25">
      <c r="A282" t="s">
        <v>699</v>
      </c>
      <c r="C282" s="139" t="s">
        <v>478</v>
      </c>
      <c r="D282" s="95">
        <f t="shared" si="13"/>
        <v>2.0910759862087496E-3</v>
      </c>
      <c r="E282" t="s">
        <v>173</v>
      </c>
      <c r="F282" s="95">
        <f t="shared" si="14"/>
        <v>1.9988242210464434E-2</v>
      </c>
      <c r="G282" s="136">
        <f t="shared" si="12"/>
        <v>-326.29928315412184</v>
      </c>
      <c r="H282" s="187">
        <v>22333</v>
      </c>
      <c r="I282" s="89">
        <v>22320</v>
      </c>
      <c r="J282" s="89">
        <v>2210</v>
      </c>
      <c r="K282" s="89">
        <v>2165</v>
      </c>
      <c r="L282" s="89">
        <v>2090</v>
      </c>
      <c r="M282" s="89">
        <v>2040</v>
      </c>
      <c r="N282" s="89">
        <v>-7283000</v>
      </c>
      <c r="O282" s="113" t="s">
        <v>478</v>
      </c>
      <c r="P282" s="256">
        <v>22333</v>
      </c>
      <c r="Q282" s="258">
        <v>22.6</v>
      </c>
      <c r="R282" s="258">
        <v>22.5</v>
      </c>
      <c r="S282" s="258">
        <v>22.6</v>
      </c>
      <c r="T282" s="258">
        <v>22.6</v>
      </c>
      <c r="U282" s="258">
        <v>22.6</v>
      </c>
      <c r="V282" s="258">
        <v>22.6</v>
      </c>
      <c r="W282" s="258">
        <v>22.7</v>
      </c>
      <c r="X282" s="258">
        <v>22.7</v>
      </c>
      <c r="Y282" s="258">
        <v>22.7</v>
      </c>
      <c r="Z282" s="258">
        <v>22.8</v>
      </c>
    </row>
    <row r="283" spans="1:26" ht="13.15" x14ac:dyDescent="0.25">
      <c r="A283" t="s">
        <v>691</v>
      </c>
      <c r="C283" s="139" t="s">
        <v>352</v>
      </c>
      <c r="D283" s="95">
        <f t="shared" si="13"/>
        <v>-1.0758274346819058E-3</v>
      </c>
      <c r="E283" t="s">
        <v>173</v>
      </c>
      <c r="F283" s="95">
        <f t="shared" si="14"/>
        <v>1.5863859244303433E-2</v>
      </c>
      <c r="G283" s="136">
        <f t="shared" si="12"/>
        <v>716.06081488500297</v>
      </c>
      <c r="H283" s="187">
        <v>46197</v>
      </c>
      <c r="I283" s="89">
        <v>46436</v>
      </c>
      <c r="J283" s="89">
        <v>4470</v>
      </c>
      <c r="K283" s="89">
        <v>4385</v>
      </c>
      <c r="L283" s="89">
        <v>4285</v>
      </c>
      <c r="M283" s="89">
        <v>4195</v>
      </c>
      <c r="N283" s="89">
        <v>33251000</v>
      </c>
      <c r="O283" s="113" t="s">
        <v>352</v>
      </c>
      <c r="P283" s="256">
        <v>46197</v>
      </c>
      <c r="Q283" s="258">
        <v>46.3</v>
      </c>
      <c r="R283" s="258">
        <v>46.3</v>
      </c>
      <c r="S283" s="258">
        <v>46.3</v>
      </c>
      <c r="T283" s="258">
        <v>46.2</v>
      </c>
      <c r="U283" s="258">
        <v>46.1</v>
      </c>
      <c r="V283" s="258">
        <v>45.9</v>
      </c>
      <c r="W283" s="258">
        <v>45.8</v>
      </c>
      <c r="X283" s="258">
        <v>45.8</v>
      </c>
      <c r="Y283" s="258">
        <v>45.7</v>
      </c>
      <c r="Z283" s="258">
        <v>45.7</v>
      </c>
    </row>
    <row r="284" spans="1:26" ht="13.15" x14ac:dyDescent="0.25">
      <c r="A284" t="s">
        <v>692</v>
      </c>
      <c r="C284" s="139" t="s">
        <v>283</v>
      </c>
      <c r="D284" s="95">
        <f t="shared" si="13"/>
        <v>6.1746211730749406E-3</v>
      </c>
      <c r="E284" t="s">
        <v>578</v>
      </c>
      <c r="F284" s="95">
        <f t="shared" si="14"/>
        <v>2.2222222222222223E-2</v>
      </c>
      <c r="G284" s="136">
        <f t="shared" si="12"/>
        <v>-948.36433611289283</v>
      </c>
      <c r="H284" s="187">
        <v>9701</v>
      </c>
      <c r="I284" s="89">
        <v>9354</v>
      </c>
      <c r="J284" s="89">
        <v>890</v>
      </c>
      <c r="K284" s="89">
        <v>850</v>
      </c>
      <c r="L284" s="89">
        <v>820</v>
      </c>
      <c r="M284" s="89">
        <v>815</v>
      </c>
      <c r="N284" s="89">
        <v>-8871000</v>
      </c>
      <c r="O284" s="113" t="s">
        <v>283</v>
      </c>
      <c r="P284" s="256">
        <v>9701</v>
      </c>
      <c r="Q284" s="258">
        <v>9.6</v>
      </c>
      <c r="R284" s="258">
        <v>9.6999999999999993</v>
      </c>
      <c r="S284" s="258">
        <v>9.8000000000000007</v>
      </c>
      <c r="T284" s="258">
        <v>9.9</v>
      </c>
      <c r="U284" s="258">
        <v>9.9</v>
      </c>
      <c r="V284" s="258">
        <v>10</v>
      </c>
      <c r="W284" s="258">
        <v>10.1</v>
      </c>
      <c r="X284" s="258">
        <v>10.199999999999999</v>
      </c>
      <c r="Y284" s="258">
        <v>10.199999999999999</v>
      </c>
      <c r="Z284" s="258">
        <v>10.3</v>
      </c>
    </row>
    <row r="285" spans="1:26" ht="13.15" x14ac:dyDescent="0.25">
      <c r="A285" t="s">
        <v>694</v>
      </c>
      <c r="C285" s="139" t="s">
        <v>406</v>
      </c>
      <c r="D285" s="95">
        <f t="shared" si="13"/>
        <v>2.8782799676337996E-3</v>
      </c>
      <c r="E285" t="s">
        <v>544</v>
      </c>
      <c r="F285" s="95">
        <f t="shared" si="14"/>
        <v>1.7968375658840442E-2</v>
      </c>
      <c r="G285" s="136">
        <f t="shared" si="12"/>
        <v>5537.301295839673</v>
      </c>
      <c r="H285" s="187">
        <v>77859</v>
      </c>
      <c r="I285" s="89">
        <v>76244</v>
      </c>
      <c r="J285" s="89">
        <v>5450</v>
      </c>
      <c r="K285" s="89">
        <v>5265</v>
      </c>
      <c r="L285" s="89">
        <v>5080</v>
      </c>
      <c r="M285" s="89">
        <v>5075</v>
      </c>
      <c r="N285" s="89">
        <v>422186000</v>
      </c>
      <c r="O285" s="113" t="s">
        <v>406</v>
      </c>
      <c r="P285" s="256">
        <v>77859</v>
      </c>
      <c r="Q285" s="258">
        <v>77.900000000000006</v>
      </c>
      <c r="R285" s="258">
        <v>78.5</v>
      </c>
      <c r="S285" s="258">
        <v>78.8</v>
      </c>
      <c r="T285" s="258">
        <v>79</v>
      </c>
      <c r="U285" s="258">
        <v>79.2</v>
      </c>
      <c r="V285" s="258">
        <v>79.5</v>
      </c>
      <c r="W285" s="258">
        <v>79.599999999999994</v>
      </c>
      <c r="X285" s="258">
        <v>79.8</v>
      </c>
      <c r="Y285" s="258">
        <v>79.900000000000006</v>
      </c>
      <c r="Z285" s="258">
        <v>80.099999999999994</v>
      </c>
    </row>
    <row r="286" spans="1:26" ht="13.15" x14ac:dyDescent="0.25">
      <c r="A286" t="s">
        <v>693</v>
      </c>
      <c r="C286" s="139" t="s">
        <v>211</v>
      </c>
      <c r="D286" s="95">
        <f t="shared" si="13"/>
        <v>-4.3570669500531348E-3</v>
      </c>
      <c r="E286" t="s">
        <v>173</v>
      </c>
      <c r="F286" s="95">
        <f t="shared" si="14"/>
        <v>5.434782608695652E-2</v>
      </c>
      <c r="G286" s="136">
        <f t="shared" si="12"/>
        <v>5398.0686695278973</v>
      </c>
      <c r="H286" s="187">
        <v>941</v>
      </c>
      <c r="I286" s="89">
        <v>932</v>
      </c>
      <c r="J286" s="89">
        <v>130</v>
      </c>
      <c r="K286" s="89">
        <v>110</v>
      </c>
      <c r="L286" s="89">
        <v>115</v>
      </c>
      <c r="M286" s="89">
        <v>105</v>
      </c>
      <c r="N286" s="89">
        <v>5031000</v>
      </c>
      <c r="O286" s="113" t="s">
        <v>211</v>
      </c>
      <c r="P286" s="256">
        <v>941</v>
      </c>
      <c r="Q286" s="258">
        <v>0.9</v>
      </c>
      <c r="R286" s="258">
        <v>0.9</v>
      </c>
      <c r="S286" s="258">
        <v>0.9</v>
      </c>
      <c r="T286" s="258">
        <v>0.9</v>
      </c>
      <c r="U286" s="258">
        <v>0.9</v>
      </c>
      <c r="V286" s="258">
        <v>0.9</v>
      </c>
      <c r="W286" s="258">
        <v>0.9</v>
      </c>
      <c r="X286" s="258">
        <v>0.9</v>
      </c>
      <c r="Y286" s="258">
        <v>0.9</v>
      </c>
      <c r="Z286" s="258">
        <v>0.9</v>
      </c>
    </row>
    <row r="287" spans="1:26" ht="13.15" x14ac:dyDescent="0.25">
      <c r="A287" t="s">
        <v>699</v>
      </c>
      <c r="C287" s="139" t="s">
        <v>519</v>
      </c>
      <c r="D287" s="95">
        <f t="shared" si="13"/>
        <v>5.7915057915057912E-3</v>
      </c>
      <c r="E287" t="s">
        <v>578</v>
      </c>
      <c r="F287" s="95">
        <f t="shared" si="14"/>
        <v>7.0224719101123594E-3</v>
      </c>
      <c r="G287" s="136">
        <f t="shared" si="12"/>
        <v>25.299197091349797</v>
      </c>
      <c r="H287" s="187">
        <v>12950</v>
      </c>
      <c r="I287" s="89">
        <v>13202</v>
      </c>
      <c r="J287" s="89">
        <v>895</v>
      </c>
      <c r="K287" s="89">
        <v>905</v>
      </c>
      <c r="L287" s="89">
        <v>890</v>
      </c>
      <c r="M287" s="89">
        <v>870</v>
      </c>
      <c r="N287" s="89">
        <v>334000</v>
      </c>
      <c r="O287" s="113" t="s">
        <v>519</v>
      </c>
      <c r="P287" s="256">
        <v>12950</v>
      </c>
      <c r="Q287" s="258">
        <v>13.1</v>
      </c>
      <c r="R287" s="258">
        <v>13.4</v>
      </c>
      <c r="S287" s="258">
        <v>13.6</v>
      </c>
      <c r="T287" s="258">
        <v>13.8</v>
      </c>
      <c r="U287" s="258">
        <v>13.9</v>
      </c>
      <c r="V287" s="258">
        <v>14</v>
      </c>
      <c r="W287" s="258">
        <v>13.9</v>
      </c>
      <c r="X287" s="258">
        <v>13.9</v>
      </c>
      <c r="Y287" s="258">
        <v>13.8</v>
      </c>
      <c r="Z287" s="258">
        <v>13.7</v>
      </c>
    </row>
    <row r="288" spans="1:26" ht="13.15" x14ac:dyDescent="0.25">
      <c r="A288" t="s">
        <v>701</v>
      </c>
      <c r="C288" s="139" t="s">
        <v>428</v>
      </c>
      <c r="D288" s="95">
        <f t="shared" si="13"/>
        <v>-2.5445066500784977E-3</v>
      </c>
      <c r="E288" t="s">
        <v>173</v>
      </c>
      <c r="F288" s="95">
        <f t="shared" si="14"/>
        <v>1.4752370916754479E-2</v>
      </c>
      <c r="G288" s="136">
        <f t="shared" si="12"/>
        <v>932.88629908348219</v>
      </c>
      <c r="H288" s="187">
        <v>33759</v>
      </c>
      <c r="I288" s="89">
        <v>34151</v>
      </c>
      <c r="J288" s="89">
        <v>3685</v>
      </c>
      <c r="K288" s="89">
        <v>3615</v>
      </c>
      <c r="L288" s="89">
        <v>3460</v>
      </c>
      <c r="M288" s="89">
        <v>3475</v>
      </c>
      <c r="N288" s="89">
        <v>31859000</v>
      </c>
      <c r="O288" s="113" t="s">
        <v>428</v>
      </c>
      <c r="P288" s="256">
        <v>33759</v>
      </c>
      <c r="Q288" s="258">
        <v>33.6</v>
      </c>
      <c r="R288" s="258">
        <v>33.5</v>
      </c>
      <c r="S288" s="258">
        <v>33.4</v>
      </c>
      <c r="T288" s="258">
        <v>33.299999999999997</v>
      </c>
      <c r="U288" s="258">
        <v>33.200000000000003</v>
      </c>
      <c r="V288" s="258">
        <v>33.200000000000003</v>
      </c>
      <c r="W288" s="258">
        <v>33.1</v>
      </c>
      <c r="X288" s="258">
        <v>33</v>
      </c>
      <c r="Y288" s="258">
        <v>33</v>
      </c>
      <c r="Z288" s="258">
        <v>32.9</v>
      </c>
    </row>
    <row r="289" spans="1:26" ht="13.15" x14ac:dyDescent="0.25">
      <c r="A289" t="s">
        <v>694</v>
      </c>
      <c r="C289" s="139" t="s">
        <v>546</v>
      </c>
      <c r="D289" s="95">
        <f t="shared" si="13"/>
        <v>8.4864725684477543E-3</v>
      </c>
      <c r="E289" t="s">
        <v>544</v>
      </c>
      <c r="F289" s="95">
        <f t="shared" si="14"/>
        <v>2.9124555160142347E-2</v>
      </c>
      <c r="G289" s="136">
        <f t="shared" si="12"/>
        <v>250.48052504207706</v>
      </c>
      <c r="H289" s="187">
        <v>524305</v>
      </c>
      <c r="I289" s="89">
        <v>502055</v>
      </c>
      <c r="J289" s="89">
        <v>46785</v>
      </c>
      <c r="K289" s="89">
        <v>44635</v>
      </c>
      <c r="L289" s="89">
        <v>42535</v>
      </c>
      <c r="M289" s="89">
        <v>41670</v>
      </c>
      <c r="N289" s="89">
        <v>125755000</v>
      </c>
      <c r="O289" s="113" t="s">
        <v>546</v>
      </c>
      <c r="P289" s="256">
        <v>524305</v>
      </c>
      <c r="Q289" s="258">
        <v>525.70000000000005</v>
      </c>
      <c r="R289" s="258">
        <v>532.6</v>
      </c>
      <c r="S289" s="258">
        <v>538.9</v>
      </c>
      <c r="T289" s="258">
        <v>544.20000000000005</v>
      </c>
      <c r="U289" s="258">
        <v>549.9</v>
      </c>
      <c r="V289" s="258">
        <v>554.6</v>
      </c>
      <c r="W289" s="258">
        <v>558.79999999999995</v>
      </c>
      <c r="X289" s="258">
        <v>562.5</v>
      </c>
      <c r="Y289" s="258">
        <v>565.79999999999995</v>
      </c>
      <c r="Z289" s="258">
        <v>568.79999999999995</v>
      </c>
    </row>
    <row r="290" spans="1:26" ht="13.15" x14ac:dyDescent="0.25">
      <c r="A290" t="s">
        <v>690</v>
      </c>
      <c r="C290" s="139" t="s">
        <v>597</v>
      </c>
      <c r="D290" s="95">
        <f t="shared" si="13"/>
        <v>6.9048743375832939E-3</v>
      </c>
      <c r="E290" t="s">
        <v>544</v>
      </c>
      <c r="F290" s="95">
        <f t="shared" si="14"/>
        <v>2.5317995412525197E-2</v>
      </c>
      <c r="G290" s="136">
        <f t="shared" si="12"/>
        <v>74.31213654964462</v>
      </c>
      <c r="H290" s="197">
        <v>152472</v>
      </c>
      <c r="I290" s="89">
        <v>148576</v>
      </c>
      <c r="J290" s="89">
        <v>15370</v>
      </c>
      <c r="K290" s="101">
        <v>14785</v>
      </c>
      <c r="L290" s="101">
        <v>13480</v>
      </c>
      <c r="M290" s="101">
        <v>13913</v>
      </c>
      <c r="N290" s="101">
        <v>11041000</v>
      </c>
      <c r="O290" s="113" t="s">
        <v>597</v>
      </c>
      <c r="P290" s="256">
        <v>152472</v>
      </c>
      <c r="Q290" s="258">
        <v>153.6</v>
      </c>
      <c r="R290" s="258">
        <v>155.30000000000001</v>
      </c>
      <c r="S290" s="258">
        <v>157</v>
      </c>
      <c r="T290" s="258">
        <v>158.19999999999999</v>
      </c>
      <c r="U290" s="258">
        <v>159.19999999999999</v>
      </c>
      <c r="V290" s="258">
        <v>160.30000000000001</v>
      </c>
      <c r="W290" s="258">
        <v>161.1</v>
      </c>
      <c r="X290" s="258">
        <v>161.9</v>
      </c>
      <c r="Y290" s="258">
        <v>162.4</v>
      </c>
      <c r="Z290" s="258">
        <v>163</v>
      </c>
    </row>
    <row r="291" spans="1:26" ht="13.15" x14ac:dyDescent="0.25">
      <c r="A291" t="s">
        <v>699</v>
      </c>
      <c r="C291" s="139" t="s">
        <v>520</v>
      </c>
      <c r="D291" s="95">
        <f t="shared" si="13"/>
        <v>4.0779638565616423E-3</v>
      </c>
      <c r="E291" t="s">
        <v>578</v>
      </c>
      <c r="F291" s="95">
        <f t="shared" si="14"/>
        <v>8.2474226804123713E-3</v>
      </c>
      <c r="G291" s="136">
        <f t="shared" si="12"/>
        <v>137.43815283122595</v>
      </c>
      <c r="H291" s="187">
        <v>10569</v>
      </c>
      <c r="I291" s="89">
        <v>10914</v>
      </c>
      <c r="J291" s="89">
        <v>625</v>
      </c>
      <c r="K291" s="89">
        <v>605</v>
      </c>
      <c r="L291" s="89">
        <v>590</v>
      </c>
      <c r="M291" s="89">
        <v>605</v>
      </c>
      <c r="N291" s="89">
        <v>1500000</v>
      </c>
      <c r="O291" s="113" t="s">
        <v>520</v>
      </c>
      <c r="P291" s="256">
        <v>10569</v>
      </c>
      <c r="Q291" s="258">
        <v>11.1</v>
      </c>
      <c r="R291" s="258">
        <v>11.2</v>
      </c>
      <c r="S291" s="258">
        <v>11.3</v>
      </c>
      <c r="T291" s="258">
        <v>11.3</v>
      </c>
      <c r="U291" s="258">
        <v>11.3</v>
      </c>
      <c r="V291" s="258">
        <v>11.2</v>
      </c>
      <c r="W291" s="258">
        <v>11.2</v>
      </c>
      <c r="X291" s="258">
        <v>11.1</v>
      </c>
      <c r="Y291" s="258">
        <v>11.1</v>
      </c>
      <c r="Z291" s="258">
        <v>11</v>
      </c>
    </row>
    <row r="292" spans="1:26" ht="13.15" x14ac:dyDescent="0.25">
      <c r="A292" t="s">
        <v>690</v>
      </c>
      <c r="C292" s="139" t="s">
        <v>542</v>
      </c>
      <c r="D292" s="95">
        <f t="shared" si="13"/>
        <v>-8.5352185533235625E-4</v>
      </c>
      <c r="E292" t="s">
        <v>578</v>
      </c>
      <c r="F292" s="95">
        <f t="shared" si="14"/>
        <v>2.4918743228602384E-2</v>
      </c>
      <c r="G292" s="136">
        <f t="shared" si="12"/>
        <v>175.80276200965855</v>
      </c>
      <c r="H292" s="187">
        <v>11599</v>
      </c>
      <c r="I292" s="89">
        <v>11803</v>
      </c>
      <c r="J292" s="89">
        <v>1220</v>
      </c>
      <c r="K292" s="89">
        <v>1155</v>
      </c>
      <c r="L292" s="89">
        <v>1135</v>
      </c>
      <c r="M292" s="89">
        <v>1105</v>
      </c>
      <c r="N292" s="89">
        <v>2075000</v>
      </c>
      <c r="O292" s="113" t="s">
        <v>542</v>
      </c>
      <c r="P292" s="256">
        <v>11599</v>
      </c>
      <c r="Q292" s="258">
        <v>11.6</v>
      </c>
      <c r="R292" s="258">
        <v>11.6</v>
      </c>
      <c r="S292" s="258">
        <v>11.6</v>
      </c>
      <c r="T292" s="258">
        <v>11.6</v>
      </c>
      <c r="U292" s="258">
        <v>11.6</v>
      </c>
      <c r="V292" s="258">
        <v>11.5</v>
      </c>
      <c r="W292" s="258">
        <v>11.5</v>
      </c>
      <c r="X292" s="258">
        <v>11.5</v>
      </c>
      <c r="Y292" s="258">
        <v>11.5</v>
      </c>
      <c r="Z292" s="258">
        <v>11.5</v>
      </c>
    </row>
    <row r="293" spans="1:26" ht="13.15" x14ac:dyDescent="0.25">
      <c r="A293" t="s">
        <v>690</v>
      </c>
      <c r="C293" s="139" t="s">
        <v>480</v>
      </c>
      <c r="D293" s="95">
        <f t="shared" si="13"/>
        <v>3.2009795347210076E-3</v>
      </c>
      <c r="E293" t="s">
        <v>578</v>
      </c>
      <c r="F293" s="95">
        <f t="shared" si="14"/>
        <v>1.9843101061375174E-2</v>
      </c>
      <c r="G293" s="136">
        <f t="shared" si="12"/>
        <v>364.9744027303754</v>
      </c>
      <c r="H293" s="187">
        <v>28585</v>
      </c>
      <c r="I293" s="89">
        <v>28128</v>
      </c>
      <c r="J293" s="89">
        <v>2845</v>
      </c>
      <c r="K293" s="89">
        <v>2720</v>
      </c>
      <c r="L293" s="89">
        <v>2640</v>
      </c>
      <c r="M293" s="89">
        <v>2630</v>
      </c>
      <c r="N293" s="89">
        <v>10266000</v>
      </c>
      <c r="O293" s="113" t="s">
        <v>480</v>
      </c>
      <c r="P293" s="256">
        <v>28585</v>
      </c>
      <c r="Q293" s="258">
        <v>28.3</v>
      </c>
      <c r="R293" s="258">
        <v>28.4</v>
      </c>
      <c r="S293" s="258">
        <v>28.5</v>
      </c>
      <c r="T293" s="258">
        <v>28.6</v>
      </c>
      <c r="U293" s="258">
        <v>28.7</v>
      </c>
      <c r="V293" s="258">
        <v>28.9</v>
      </c>
      <c r="W293" s="258">
        <v>29</v>
      </c>
      <c r="X293" s="258">
        <v>29.2</v>
      </c>
      <c r="Y293" s="258">
        <v>29.3</v>
      </c>
      <c r="Z293" s="258">
        <v>29.5</v>
      </c>
    </row>
    <row r="294" spans="1:26" ht="13.15" x14ac:dyDescent="0.25">
      <c r="A294" t="s">
        <v>699</v>
      </c>
      <c r="C294" s="139" t="s">
        <v>521</v>
      </c>
      <c r="D294" s="95">
        <f t="shared" si="13"/>
        <v>-4.4473021486363394E-4</v>
      </c>
      <c r="E294" t="s">
        <v>544</v>
      </c>
      <c r="F294" s="95">
        <f t="shared" si="14"/>
        <v>1.593063117564025E-2</v>
      </c>
      <c r="G294" s="136">
        <f t="shared" si="12"/>
        <v>2631.1207489289682</v>
      </c>
      <c r="H294" s="187">
        <v>93315</v>
      </c>
      <c r="I294" s="89">
        <v>94535</v>
      </c>
      <c r="J294" s="89">
        <v>6415</v>
      </c>
      <c r="K294" s="89">
        <v>6250</v>
      </c>
      <c r="L294" s="89">
        <v>6110</v>
      </c>
      <c r="M294" s="89">
        <v>6020</v>
      </c>
      <c r="N294" s="89">
        <v>248733000</v>
      </c>
      <c r="O294" s="113" t="s">
        <v>521</v>
      </c>
      <c r="P294" s="256">
        <v>93315</v>
      </c>
      <c r="Q294" s="258">
        <v>93</v>
      </c>
      <c r="R294" s="258">
        <v>92.8</v>
      </c>
      <c r="S294" s="258">
        <v>92.6</v>
      </c>
      <c r="T294" s="258">
        <v>92.7</v>
      </c>
      <c r="U294" s="258">
        <v>92.8</v>
      </c>
      <c r="V294" s="258">
        <v>92.9</v>
      </c>
      <c r="W294" s="258">
        <v>92.9</v>
      </c>
      <c r="X294" s="258">
        <v>92.9</v>
      </c>
      <c r="Y294" s="258">
        <v>92.8</v>
      </c>
      <c r="Z294" s="258">
        <v>92.9</v>
      </c>
    </row>
    <row r="295" spans="1:26" ht="13.15" x14ac:dyDescent="0.25">
      <c r="A295" t="s">
        <v>694</v>
      </c>
      <c r="C295" s="139" t="s">
        <v>407</v>
      </c>
      <c r="D295" s="95">
        <f t="shared" si="13"/>
        <v>3.2041281651266048E-3</v>
      </c>
      <c r="E295" t="s">
        <v>173</v>
      </c>
      <c r="F295" s="95">
        <f t="shared" si="14"/>
        <v>1.935483870967742E-2</v>
      </c>
      <c r="G295" s="136">
        <f t="shared" si="12"/>
        <v>881.68537471112575</v>
      </c>
      <c r="H295" s="187">
        <v>24999</v>
      </c>
      <c r="I295" s="89">
        <v>24232</v>
      </c>
      <c r="J295" s="89">
        <v>1820</v>
      </c>
      <c r="K295" s="89">
        <v>1765</v>
      </c>
      <c r="L295" s="89">
        <v>1705</v>
      </c>
      <c r="M295" s="89">
        <v>1685</v>
      </c>
      <c r="N295" s="89">
        <v>21365000</v>
      </c>
      <c r="O295" s="113" t="s">
        <v>407</v>
      </c>
      <c r="P295" s="256">
        <v>24999</v>
      </c>
      <c r="Q295" s="258">
        <v>25</v>
      </c>
      <c r="R295" s="258">
        <v>25.1</v>
      </c>
      <c r="S295" s="258">
        <v>25.1</v>
      </c>
      <c r="T295" s="258">
        <v>25.1</v>
      </c>
      <c r="U295" s="258">
        <v>25.2</v>
      </c>
      <c r="V295" s="258">
        <v>25.3</v>
      </c>
      <c r="W295" s="258">
        <v>25.5</v>
      </c>
      <c r="X295" s="258">
        <v>25.6</v>
      </c>
      <c r="Y295" s="258">
        <v>25.8</v>
      </c>
      <c r="Z295" s="258">
        <v>25.8</v>
      </c>
    </row>
    <row r="296" spans="1:26" ht="13.15" x14ac:dyDescent="0.25">
      <c r="A296" t="s">
        <v>698</v>
      </c>
      <c r="C296" s="139" t="s">
        <v>190</v>
      </c>
      <c r="D296" s="95">
        <f t="shared" si="13"/>
        <v>4.0081177067478437E-3</v>
      </c>
      <c r="E296" t="s">
        <v>578</v>
      </c>
      <c r="F296" s="95">
        <f t="shared" si="14"/>
        <v>1.6536964980544747E-2</v>
      </c>
      <c r="G296" s="136">
        <f t="shared" si="12"/>
        <v>2055.1622039134913</v>
      </c>
      <c r="H296" s="187">
        <v>15768</v>
      </c>
      <c r="I296" s="89">
        <v>15536</v>
      </c>
      <c r="J296" s="89">
        <v>1330</v>
      </c>
      <c r="K296" s="89">
        <v>1290</v>
      </c>
      <c r="L296" s="89">
        <v>1275</v>
      </c>
      <c r="M296" s="89">
        <v>1245</v>
      </c>
      <c r="N296" s="89">
        <v>31929000</v>
      </c>
      <c r="O296" s="113" t="s">
        <v>190</v>
      </c>
      <c r="P296" s="256">
        <v>15768</v>
      </c>
      <c r="Q296" s="258">
        <v>15.9</v>
      </c>
      <c r="R296" s="258">
        <v>16.100000000000001</v>
      </c>
      <c r="S296" s="258">
        <v>16.2</v>
      </c>
      <c r="T296" s="258">
        <v>16.3</v>
      </c>
      <c r="U296" s="258">
        <v>16.3</v>
      </c>
      <c r="V296" s="258">
        <v>16.399999999999999</v>
      </c>
      <c r="W296" s="258">
        <v>16.399999999999999</v>
      </c>
      <c r="X296" s="258">
        <v>16.399999999999999</v>
      </c>
      <c r="Y296" s="258">
        <v>16.399999999999999</v>
      </c>
      <c r="Z296" s="258">
        <v>16.399999999999999</v>
      </c>
    </row>
    <row r="297" spans="1:26" ht="13.15" x14ac:dyDescent="0.25">
      <c r="A297" t="s">
        <v>701</v>
      </c>
      <c r="C297" s="139" t="s">
        <v>429</v>
      </c>
      <c r="D297" s="95">
        <f t="shared" si="13"/>
        <v>-4.4559059778472984E-3</v>
      </c>
      <c r="E297" t="s">
        <v>173</v>
      </c>
      <c r="F297" s="95">
        <f t="shared" si="14"/>
        <v>1.4785608674223755E-2</v>
      </c>
      <c r="G297" s="136">
        <f t="shared" si="12"/>
        <v>2206.010380043529</v>
      </c>
      <c r="H297" s="187">
        <v>23654</v>
      </c>
      <c r="I297" s="89">
        <v>23892</v>
      </c>
      <c r="J297" s="89">
        <v>2620</v>
      </c>
      <c r="K297" s="89">
        <v>2555</v>
      </c>
      <c r="L297" s="89">
        <v>2500</v>
      </c>
      <c r="M297" s="89">
        <v>2470</v>
      </c>
      <c r="N297" s="89">
        <v>52706000</v>
      </c>
      <c r="O297" s="113" t="s">
        <v>429</v>
      </c>
      <c r="P297" s="256">
        <v>23654</v>
      </c>
      <c r="Q297" s="258">
        <v>23.7</v>
      </c>
      <c r="R297" s="258">
        <v>23.7</v>
      </c>
      <c r="S297" s="258">
        <v>23.6</v>
      </c>
      <c r="T297" s="258">
        <v>23.5</v>
      </c>
      <c r="U297" s="258">
        <v>23.4</v>
      </c>
      <c r="V297" s="258">
        <v>23.3</v>
      </c>
      <c r="W297" s="258">
        <v>23.1</v>
      </c>
      <c r="X297" s="258">
        <v>23</v>
      </c>
      <c r="Y297" s="258">
        <v>22.8</v>
      </c>
      <c r="Z297" s="258">
        <v>22.6</v>
      </c>
    </row>
    <row r="298" spans="1:26" ht="13.15" x14ac:dyDescent="0.25">
      <c r="A298" t="s">
        <v>693</v>
      </c>
      <c r="C298" s="139" t="s">
        <v>212</v>
      </c>
      <c r="D298" s="95">
        <f t="shared" si="13"/>
        <v>1.6212722408747329E-3</v>
      </c>
      <c r="E298" t="s">
        <v>544</v>
      </c>
      <c r="F298" s="95">
        <f t="shared" si="14"/>
        <v>1.7922336541652838E-2</v>
      </c>
      <c r="G298" s="136">
        <f t="shared" si="12"/>
        <v>553.64613387189843</v>
      </c>
      <c r="H298" s="187">
        <v>55697</v>
      </c>
      <c r="I298" s="89">
        <v>55456</v>
      </c>
      <c r="J298" s="89">
        <v>3925</v>
      </c>
      <c r="K298" s="89">
        <v>3810</v>
      </c>
      <c r="L298" s="89">
        <v>3675</v>
      </c>
      <c r="M298" s="89">
        <v>3655</v>
      </c>
      <c r="N298" s="89">
        <v>30703000</v>
      </c>
      <c r="O298" s="113" t="s">
        <v>212</v>
      </c>
      <c r="P298" s="256">
        <v>55697</v>
      </c>
      <c r="Q298" s="258">
        <v>55.6</v>
      </c>
      <c r="R298" s="258">
        <v>55.8</v>
      </c>
      <c r="S298" s="258">
        <v>56</v>
      </c>
      <c r="T298" s="258">
        <v>56.2</v>
      </c>
      <c r="U298" s="258">
        <v>56.2</v>
      </c>
      <c r="V298" s="258">
        <v>56.3</v>
      </c>
      <c r="W298" s="258">
        <v>56.5</v>
      </c>
      <c r="X298" s="258">
        <v>56.4</v>
      </c>
      <c r="Y298" s="258">
        <v>56.5</v>
      </c>
      <c r="Z298" s="258">
        <v>56.6</v>
      </c>
    </row>
    <row r="299" spans="1:26" ht="13.15" x14ac:dyDescent="0.25">
      <c r="A299" t="s">
        <v>697</v>
      </c>
      <c r="C299" s="139" t="s">
        <v>309</v>
      </c>
      <c r="D299" s="95">
        <f t="shared" si="13"/>
        <v>2.4970014175117218E-3</v>
      </c>
      <c r="E299" t="s">
        <v>173</v>
      </c>
      <c r="F299" s="95">
        <f t="shared" si="14"/>
        <v>1.6565433462175594E-2</v>
      </c>
      <c r="G299" s="136">
        <f t="shared" si="12"/>
        <v>188.26186091379461</v>
      </c>
      <c r="H299" s="187">
        <v>45855</v>
      </c>
      <c r="I299" s="89">
        <v>45612</v>
      </c>
      <c r="J299" s="89">
        <v>4720</v>
      </c>
      <c r="K299" s="89">
        <v>4555</v>
      </c>
      <c r="L299" s="89">
        <v>4415</v>
      </c>
      <c r="M299" s="89">
        <v>4420</v>
      </c>
      <c r="N299" s="89">
        <v>8587000</v>
      </c>
      <c r="O299" s="113" t="s">
        <v>309</v>
      </c>
      <c r="P299" s="256">
        <v>45855</v>
      </c>
      <c r="Q299" s="258">
        <v>45.7</v>
      </c>
      <c r="R299" s="258">
        <v>45.9</v>
      </c>
      <c r="S299" s="258">
        <v>46</v>
      </c>
      <c r="T299" s="258">
        <v>46.2</v>
      </c>
      <c r="U299" s="258">
        <v>46.4</v>
      </c>
      <c r="V299" s="258">
        <v>46.5</v>
      </c>
      <c r="W299" s="258">
        <v>46.7</v>
      </c>
      <c r="X299" s="258">
        <v>46.9</v>
      </c>
      <c r="Y299" s="258">
        <v>47</v>
      </c>
      <c r="Z299" s="258">
        <v>47</v>
      </c>
    </row>
    <row r="300" spans="1:26" ht="13.15" x14ac:dyDescent="0.25">
      <c r="A300" t="s">
        <v>690</v>
      </c>
      <c r="C300" s="139" t="s">
        <v>482</v>
      </c>
      <c r="D300" s="95">
        <f t="shared" si="13"/>
        <v>-1.8387181507748885E-4</v>
      </c>
      <c r="E300" t="s">
        <v>578</v>
      </c>
      <c r="F300" s="95">
        <f t="shared" si="14"/>
        <v>1.9206145966709345E-2</v>
      </c>
      <c r="G300" s="136">
        <f t="shared" si="12"/>
        <v>-1014.5317545748117</v>
      </c>
      <c r="H300" s="187">
        <v>19035</v>
      </c>
      <c r="I300" s="89">
        <v>18580</v>
      </c>
      <c r="J300" s="89">
        <v>2040</v>
      </c>
      <c r="K300" s="89">
        <v>1980</v>
      </c>
      <c r="L300" s="89">
        <v>1900</v>
      </c>
      <c r="M300" s="89">
        <v>1890</v>
      </c>
      <c r="N300" s="89">
        <v>-18850000</v>
      </c>
      <c r="O300" s="113" t="s">
        <v>482</v>
      </c>
      <c r="P300" s="256">
        <v>19035</v>
      </c>
      <c r="Q300" s="258">
        <v>18.8</v>
      </c>
      <c r="R300" s="258">
        <v>18.899999999999999</v>
      </c>
      <c r="S300" s="258">
        <v>18.899999999999999</v>
      </c>
      <c r="T300" s="258">
        <v>19</v>
      </c>
      <c r="U300" s="258">
        <v>19</v>
      </c>
      <c r="V300" s="258">
        <v>19</v>
      </c>
      <c r="W300" s="258">
        <v>19</v>
      </c>
      <c r="X300" s="258">
        <v>19</v>
      </c>
      <c r="Y300" s="258">
        <v>19</v>
      </c>
      <c r="Z300" s="258">
        <v>19</v>
      </c>
    </row>
    <row r="301" spans="1:26" ht="13.15" x14ac:dyDescent="0.25">
      <c r="A301" t="s">
        <v>690</v>
      </c>
      <c r="C301" s="139" t="s">
        <v>483</v>
      </c>
      <c r="D301" s="95">
        <f t="shared" si="13"/>
        <v>4.6427712292518644E-3</v>
      </c>
      <c r="E301" t="s">
        <v>578</v>
      </c>
      <c r="F301" s="95">
        <f t="shared" si="14"/>
        <v>1.331245105716523E-2</v>
      </c>
      <c r="G301" s="136">
        <f t="shared" si="12"/>
        <v>343.88825685754011</v>
      </c>
      <c r="H301" s="187">
        <v>16628</v>
      </c>
      <c r="I301" s="89">
        <v>15822</v>
      </c>
      <c r="J301" s="89">
        <v>1640</v>
      </c>
      <c r="K301" s="89">
        <v>1600</v>
      </c>
      <c r="L301" s="89">
        <v>1590</v>
      </c>
      <c r="M301" s="89">
        <v>1555</v>
      </c>
      <c r="N301" s="89">
        <v>5441000</v>
      </c>
      <c r="O301" s="113" t="s">
        <v>483</v>
      </c>
      <c r="P301" s="256">
        <v>16628</v>
      </c>
      <c r="Q301" s="258">
        <v>16.5</v>
      </c>
      <c r="R301" s="258">
        <v>16.600000000000001</v>
      </c>
      <c r="S301" s="258">
        <v>16.7</v>
      </c>
      <c r="T301" s="258">
        <v>16.8</v>
      </c>
      <c r="U301" s="258">
        <v>16.899999999999999</v>
      </c>
      <c r="V301" s="258">
        <v>17</v>
      </c>
      <c r="W301" s="258">
        <v>17.100000000000001</v>
      </c>
      <c r="X301" s="258">
        <v>17.2</v>
      </c>
      <c r="Y301" s="258">
        <v>17.3</v>
      </c>
      <c r="Z301" s="258">
        <v>17.399999999999999</v>
      </c>
    </row>
    <row r="302" spans="1:26" ht="13.15" x14ac:dyDescent="0.25">
      <c r="A302" t="s">
        <v>698</v>
      </c>
      <c r="C302" s="139" t="s">
        <v>191</v>
      </c>
      <c r="D302" s="95">
        <f t="shared" si="13"/>
        <v>-5.1309874438071621E-3</v>
      </c>
      <c r="E302" t="s">
        <v>544</v>
      </c>
      <c r="F302" s="95">
        <f t="shared" si="14"/>
        <v>1.1799410029498525E-2</v>
      </c>
      <c r="G302" s="136">
        <f t="shared" si="12"/>
        <v>655.52457724710587</v>
      </c>
      <c r="H302" s="187">
        <v>32255</v>
      </c>
      <c r="I302" s="89">
        <v>32998</v>
      </c>
      <c r="J302" s="89">
        <v>2155</v>
      </c>
      <c r="K302" s="89">
        <v>2165</v>
      </c>
      <c r="L302" s="89">
        <v>2100</v>
      </c>
      <c r="M302" s="89">
        <v>2055</v>
      </c>
      <c r="N302" s="89">
        <v>21631000</v>
      </c>
      <c r="O302" s="113" t="s">
        <v>191</v>
      </c>
      <c r="P302" s="256">
        <v>32255</v>
      </c>
      <c r="Q302" s="258">
        <v>33.200000000000003</v>
      </c>
      <c r="R302" s="258">
        <v>33.200000000000003</v>
      </c>
      <c r="S302" s="258">
        <v>32.9</v>
      </c>
      <c r="T302" s="258">
        <v>32.5</v>
      </c>
      <c r="U302" s="258">
        <v>32.1</v>
      </c>
      <c r="V302" s="258">
        <v>31.7</v>
      </c>
      <c r="W302" s="258">
        <v>31.3</v>
      </c>
      <c r="X302" s="258">
        <v>31</v>
      </c>
      <c r="Y302" s="258">
        <v>30.8</v>
      </c>
      <c r="Z302" s="258">
        <v>30.6</v>
      </c>
    </row>
    <row r="303" spans="1:26" ht="13.15" x14ac:dyDescent="0.25">
      <c r="A303" t="s">
        <v>695</v>
      </c>
      <c r="C303" s="139" t="s">
        <v>234</v>
      </c>
      <c r="D303" s="95">
        <f t="shared" si="13"/>
        <v>3.0310291122559005E-3</v>
      </c>
      <c r="E303" t="s">
        <v>173</v>
      </c>
      <c r="F303" s="95">
        <f t="shared" si="14"/>
        <v>2.3462783171521034E-2</v>
      </c>
      <c r="G303" s="136">
        <f t="shared" si="12"/>
        <v>-743.15828402366867</v>
      </c>
      <c r="H303" s="187">
        <v>16694</v>
      </c>
      <c r="I303" s="89">
        <v>16224</v>
      </c>
      <c r="J303" s="89">
        <v>1620</v>
      </c>
      <c r="K303" s="89">
        <v>1570</v>
      </c>
      <c r="L303" s="89">
        <v>1515</v>
      </c>
      <c r="M303" s="89">
        <v>1475</v>
      </c>
      <c r="N303" s="89">
        <v>-12057000</v>
      </c>
      <c r="O303" s="113" t="s">
        <v>234</v>
      </c>
      <c r="P303" s="256">
        <v>16694</v>
      </c>
      <c r="Q303" s="258">
        <v>16.600000000000001</v>
      </c>
      <c r="R303" s="258">
        <v>16.7</v>
      </c>
      <c r="S303" s="258">
        <v>16.8</v>
      </c>
      <c r="T303" s="258">
        <v>16.899999999999999</v>
      </c>
      <c r="U303" s="258">
        <v>17</v>
      </c>
      <c r="V303" s="258">
        <v>17</v>
      </c>
      <c r="W303" s="258">
        <v>17</v>
      </c>
      <c r="X303" s="258">
        <v>17.100000000000001</v>
      </c>
      <c r="Y303" s="258">
        <v>17.100000000000001</v>
      </c>
      <c r="Z303" s="258">
        <v>17.2</v>
      </c>
    </row>
    <row r="304" spans="1:26" ht="13.15" x14ac:dyDescent="0.25">
      <c r="A304" t="s">
        <v>691</v>
      </c>
      <c r="C304" s="139" t="s">
        <v>353</v>
      </c>
      <c r="D304" s="95">
        <f t="shared" si="13"/>
        <v>-7.0987797522386676E-4</v>
      </c>
      <c r="E304" t="s">
        <v>173</v>
      </c>
      <c r="F304" s="95">
        <f t="shared" si="14"/>
        <v>4.6382189239332098E-3</v>
      </c>
      <c r="G304" s="136">
        <f t="shared" si="12"/>
        <v>1548.6771008011924</v>
      </c>
      <c r="H304" s="187">
        <v>21553</v>
      </c>
      <c r="I304" s="89">
        <v>21468</v>
      </c>
      <c r="J304" s="89">
        <v>1365</v>
      </c>
      <c r="K304" s="89">
        <v>1340</v>
      </c>
      <c r="L304" s="89">
        <v>1345</v>
      </c>
      <c r="M304" s="89">
        <v>1340</v>
      </c>
      <c r="N304" s="89">
        <v>33247000</v>
      </c>
      <c r="O304" s="113" t="s">
        <v>353</v>
      </c>
      <c r="P304" s="256">
        <v>21553</v>
      </c>
      <c r="Q304" s="258">
        <v>21.5</v>
      </c>
      <c r="R304" s="258">
        <v>21.6</v>
      </c>
      <c r="S304" s="258">
        <v>21.6</v>
      </c>
      <c r="T304" s="258">
        <v>21.5</v>
      </c>
      <c r="U304" s="258">
        <v>21.5</v>
      </c>
      <c r="V304" s="258">
        <v>21.5</v>
      </c>
      <c r="W304" s="258">
        <v>21.4</v>
      </c>
      <c r="X304" s="258">
        <v>21.4</v>
      </c>
      <c r="Y304" s="258">
        <v>21.4</v>
      </c>
      <c r="Z304" s="258">
        <v>21.4</v>
      </c>
    </row>
    <row r="305" spans="1:26" ht="13.15" x14ac:dyDescent="0.25">
      <c r="A305" t="s">
        <v>690</v>
      </c>
      <c r="C305" s="139" t="s">
        <v>484</v>
      </c>
      <c r="D305" s="95">
        <f t="shared" si="13"/>
        <v>-2.9619123107087729E-4</v>
      </c>
      <c r="E305" t="s">
        <v>173</v>
      </c>
      <c r="F305" s="95">
        <f t="shared" si="14"/>
        <v>1.5315890236119975E-2</v>
      </c>
      <c r="G305" s="136">
        <f t="shared" si="12"/>
        <v>-403.228568981759</v>
      </c>
      <c r="H305" s="187">
        <v>23971</v>
      </c>
      <c r="I305" s="89">
        <v>23354</v>
      </c>
      <c r="J305" s="89">
        <v>2025</v>
      </c>
      <c r="K305" s="89">
        <v>1980</v>
      </c>
      <c r="L305" s="89">
        <v>1925</v>
      </c>
      <c r="M305" s="89">
        <v>1905</v>
      </c>
      <c r="N305" s="89">
        <v>-9417000</v>
      </c>
      <c r="O305" s="113" t="s">
        <v>484</v>
      </c>
      <c r="P305" s="256">
        <v>23971</v>
      </c>
      <c r="Q305" s="258">
        <v>23.8</v>
      </c>
      <c r="R305" s="258">
        <v>23.9</v>
      </c>
      <c r="S305" s="258">
        <v>24.1</v>
      </c>
      <c r="T305" s="258">
        <v>24.3</v>
      </c>
      <c r="U305" s="258">
        <v>24.3</v>
      </c>
      <c r="V305" s="258">
        <v>24.3</v>
      </c>
      <c r="W305" s="258">
        <v>24.2</v>
      </c>
      <c r="X305" s="258">
        <v>24.1</v>
      </c>
      <c r="Y305" s="258">
        <v>24</v>
      </c>
      <c r="Z305" s="258">
        <v>23.9</v>
      </c>
    </row>
    <row r="306" spans="1:26" ht="13.15" x14ac:dyDescent="0.25">
      <c r="A306" t="s">
        <v>695</v>
      </c>
      <c r="C306" s="139" t="s">
        <v>235</v>
      </c>
      <c r="D306" s="95">
        <f t="shared" si="13"/>
        <v>-7.9639092206417166E-4</v>
      </c>
      <c r="E306" t="s">
        <v>173</v>
      </c>
      <c r="F306" s="95">
        <f t="shared" si="14"/>
        <v>1.6170763260025874E-2</v>
      </c>
      <c r="G306" s="136">
        <f t="shared" si="12"/>
        <v>575.20390765402522</v>
      </c>
      <c r="H306" s="187">
        <v>43446</v>
      </c>
      <c r="I306" s="89">
        <v>43402</v>
      </c>
      <c r="J306" s="89">
        <v>4020</v>
      </c>
      <c r="K306" s="89">
        <v>3895</v>
      </c>
      <c r="L306" s="89">
        <v>3775</v>
      </c>
      <c r="M306" s="89">
        <v>3770</v>
      </c>
      <c r="N306" s="89">
        <v>24965000</v>
      </c>
      <c r="O306" s="113" t="s">
        <v>235</v>
      </c>
      <c r="P306" s="256">
        <v>43446</v>
      </c>
      <c r="Q306" s="258">
        <v>43.2</v>
      </c>
      <c r="R306" s="258">
        <v>43.3</v>
      </c>
      <c r="S306" s="258">
        <v>43.3</v>
      </c>
      <c r="T306" s="258">
        <v>43.3</v>
      </c>
      <c r="U306" s="258">
        <v>43.3</v>
      </c>
      <c r="V306" s="258">
        <v>43.2</v>
      </c>
      <c r="W306" s="258">
        <v>43.2</v>
      </c>
      <c r="X306" s="258">
        <v>43.2</v>
      </c>
      <c r="Y306" s="258">
        <v>43.2</v>
      </c>
      <c r="Z306" s="258">
        <v>43.1</v>
      </c>
    </row>
    <row r="307" spans="1:26" ht="13.15" x14ac:dyDescent="0.25">
      <c r="A307" t="s">
        <v>699</v>
      </c>
      <c r="C307" s="139" t="s">
        <v>522</v>
      </c>
      <c r="D307" s="95">
        <f t="shared" si="13"/>
        <v>-1.4562138440055855E-3</v>
      </c>
      <c r="E307" t="s">
        <v>173</v>
      </c>
      <c r="F307" s="95">
        <f t="shared" si="14"/>
        <v>2.3102310231023101E-2</v>
      </c>
      <c r="G307" s="136">
        <f t="shared" si="12"/>
        <v>957.03079264723101</v>
      </c>
      <c r="H307" s="187">
        <v>25065</v>
      </c>
      <c r="I307" s="89">
        <v>25623</v>
      </c>
      <c r="J307" s="89">
        <v>1590</v>
      </c>
      <c r="K307" s="89">
        <v>1535</v>
      </c>
      <c r="L307" s="89">
        <v>1485</v>
      </c>
      <c r="M307" s="89">
        <v>1450</v>
      </c>
      <c r="N307" s="89">
        <v>24522000</v>
      </c>
      <c r="O307" s="113" t="s">
        <v>522</v>
      </c>
      <c r="P307" s="256">
        <v>25065</v>
      </c>
      <c r="Q307" s="258">
        <v>25.3</v>
      </c>
      <c r="R307" s="258">
        <v>25.3</v>
      </c>
      <c r="S307" s="258">
        <v>25.2</v>
      </c>
      <c r="T307" s="258">
        <v>25.1</v>
      </c>
      <c r="U307" s="258">
        <v>25</v>
      </c>
      <c r="V307" s="258">
        <v>24.9</v>
      </c>
      <c r="W307" s="258">
        <v>24.9</v>
      </c>
      <c r="X307" s="258">
        <v>24.8</v>
      </c>
      <c r="Y307" s="258">
        <v>24.8</v>
      </c>
      <c r="Z307" s="258">
        <v>24.7</v>
      </c>
    </row>
    <row r="308" spans="1:26" x14ac:dyDescent="0.2">
      <c r="A308" t="s">
        <v>697</v>
      </c>
      <c r="C308" s="139" t="s">
        <v>310</v>
      </c>
      <c r="D308" s="95">
        <f t="shared" si="13"/>
        <v>4.2879091205363382E-3</v>
      </c>
      <c r="E308" t="s">
        <v>578</v>
      </c>
      <c r="F308" s="95">
        <f t="shared" si="14"/>
        <v>2.2973835354179961E-2</v>
      </c>
      <c r="G308" s="136">
        <f t="shared" si="12"/>
        <v>968.17298731658002</v>
      </c>
      <c r="H308" s="187">
        <v>64437</v>
      </c>
      <c r="I308" s="89">
        <v>63311</v>
      </c>
      <c r="J308" s="89">
        <v>6185</v>
      </c>
      <c r="K308" s="89">
        <v>5950</v>
      </c>
      <c r="L308" s="89">
        <v>5725</v>
      </c>
      <c r="M308" s="89">
        <v>5645</v>
      </c>
      <c r="N308" s="89">
        <v>61296000</v>
      </c>
      <c r="O308" s="113" t="s">
        <v>310</v>
      </c>
      <c r="P308" s="256">
        <v>64437</v>
      </c>
      <c r="Q308" s="258">
        <v>64.7</v>
      </c>
      <c r="R308" s="258">
        <v>65.2</v>
      </c>
      <c r="S308" s="258">
        <v>65.599999999999994</v>
      </c>
      <c r="T308" s="258">
        <v>65.900000000000006</v>
      </c>
      <c r="U308" s="258">
        <v>66.2</v>
      </c>
      <c r="V308" s="258">
        <v>66.5</v>
      </c>
      <c r="W308" s="258">
        <v>66.8</v>
      </c>
      <c r="X308" s="258">
        <v>67</v>
      </c>
      <c r="Y308" s="258">
        <v>67.099999999999994</v>
      </c>
      <c r="Z308" s="258">
        <v>67.2</v>
      </c>
    </row>
    <row r="309" spans="1:26" x14ac:dyDescent="0.2">
      <c r="A309" t="s">
        <v>694</v>
      </c>
      <c r="C309" s="139" t="s">
        <v>408</v>
      </c>
      <c r="D309" s="95">
        <f t="shared" si="13"/>
        <v>3.6092451326426049E-3</v>
      </c>
      <c r="E309" t="s">
        <v>578</v>
      </c>
      <c r="F309" s="95">
        <f t="shared" si="14"/>
        <v>1.9117647058823531E-2</v>
      </c>
      <c r="G309" s="136">
        <f t="shared" si="12"/>
        <v>369.34900542495478</v>
      </c>
      <c r="H309" s="187">
        <v>8783</v>
      </c>
      <c r="I309" s="89">
        <v>8848</v>
      </c>
      <c r="J309" s="89">
        <v>890</v>
      </c>
      <c r="K309" s="89">
        <v>850</v>
      </c>
      <c r="L309" s="89">
        <v>835</v>
      </c>
      <c r="M309" s="89">
        <v>825</v>
      </c>
      <c r="N309" s="89">
        <v>3268000</v>
      </c>
      <c r="O309" s="113" t="s">
        <v>408</v>
      </c>
      <c r="P309" s="256">
        <v>8783</v>
      </c>
      <c r="Q309" s="258">
        <v>8.8000000000000007</v>
      </c>
      <c r="R309" s="258">
        <v>8.9</v>
      </c>
      <c r="S309" s="258">
        <v>8.9</v>
      </c>
      <c r="T309" s="258">
        <v>9</v>
      </c>
      <c r="U309" s="258">
        <v>9</v>
      </c>
      <c r="V309" s="258">
        <v>9.1</v>
      </c>
      <c r="W309" s="258">
        <v>9</v>
      </c>
      <c r="X309" s="258">
        <v>9.1</v>
      </c>
      <c r="Y309" s="258">
        <v>9.1</v>
      </c>
      <c r="Z309" s="258">
        <v>9.1</v>
      </c>
    </row>
    <row r="310" spans="1:26" x14ac:dyDescent="0.2">
      <c r="A310" t="s">
        <v>693</v>
      </c>
      <c r="C310" s="139" t="s">
        <v>543</v>
      </c>
      <c r="D310" s="95">
        <f t="shared" si="13"/>
        <v>-4.3603787707771456E-4</v>
      </c>
      <c r="E310" t="s">
        <v>173</v>
      </c>
      <c r="F310" s="95">
        <f t="shared" si="14"/>
        <v>1.5574302401038288E-2</v>
      </c>
      <c r="G310" s="136">
        <f t="shared" si="12"/>
        <v>1743.5150561732289</v>
      </c>
      <c r="H310" s="187">
        <v>84167</v>
      </c>
      <c r="I310" s="89">
        <v>84310</v>
      </c>
      <c r="J310" s="89">
        <v>7980</v>
      </c>
      <c r="K310" s="89">
        <v>7800</v>
      </c>
      <c r="L310" s="89">
        <v>7540</v>
      </c>
      <c r="M310" s="89">
        <v>7500</v>
      </c>
      <c r="N310" s="89">
        <v>146995754.38596493</v>
      </c>
      <c r="O310" s="113" t="s">
        <v>543</v>
      </c>
      <c r="P310" s="256">
        <v>84167</v>
      </c>
      <c r="Q310" s="258">
        <v>83.7</v>
      </c>
      <c r="R310" s="258">
        <v>83.6</v>
      </c>
      <c r="S310" s="258">
        <v>83.4</v>
      </c>
      <c r="T310" s="258">
        <v>83.3</v>
      </c>
      <c r="U310" s="258">
        <v>83.3</v>
      </c>
      <c r="V310" s="258">
        <v>83.4</v>
      </c>
      <c r="W310" s="258">
        <v>83.5</v>
      </c>
      <c r="X310" s="258">
        <v>83.6</v>
      </c>
      <c r="Y310" s="258">
        <v>83.7</v>
      </c>
      <c r="Z310" s="258">
        <v>83.8</v>
      </c>
    </row>
    <row r="311" spans="1:26" x14ac:dyDescent="0.2">
      <c r="A311" t="s">
        <v>698</v>
      </c>
      <c r="C311" s="139" t="s">
        <v>192</v>
      </c>
      <c r="D311" s="95">
        <f t="shared" si="13"/>
        <v>2.9795413977756419E-3</v>
      </c>
      <c r="E311" t="s">
        <v>578</v>
      </c>
      <c r="F311" s="95">
        <f t="shared" si="14"/>
        <v>1.8691588785046728E-2</v>
      </c>
      <c r="G311" s="136">
        <f t="shared" si="12"/>
        <v>4073.6926574829477</v>
      </c>
      <c r="H311" s="187">
        <v>7283</v>
      </c>
      <c r="I311" s="89">
        <v>7477</v>
      </c>
      <c r="J311" s="89">
        <v>555</v>
      </c>
      <c r="K311" s="89">
        <v>535</v>
      </c>
      <c r="L311" s="89">
        <v>535</v>
      </c>
      <c r="M311" s="89">
        <v>515</v>
      </c>
      <c r="N311" s="89">
        <v>30459000</v>
      </c>
      <c r="O311" s="113" t="s">
        <v>192</v>
      </c>
      <c r="P311" s="256">
        <v>7283</v>
      </c>
      <c r="Q311" s="258">
        <v>7.5</v>
      </c>
      <c r="R311" s="258">
        <v>7.5</v>
      </c>
      <c r="S311" s="258">
        <v>7.5</v>
      </c>
      <c r="T311" s="258">
        <v>7.5</v>
      </c>
      <c r="U311" s="258">
        <v>7.5</v>
      </c>
      <c r="V311" s="258">
        <v>7.5</v>
      </c>
      <c r="W311" s="258">
        <v>7.5</v>
      </c>
      <c r="X311" s="258">
        <v>7.5</v>
      </c>
      <c r="Y311" s="258">
        <v>7.5</v>
      </c>
      <c r="Z311" s="258">
        <v>7.5</v>
      </c>
    </row>
    <row r="312" spans="1:26" x14ac:dyDescent="0.2">
      <c r="A312" t="s">
        <v>701</v>
      </c>
      <c r="C312" s="139" t="s">
        <v>430</v>
      </c>
      <c r="D312" s="95">
        <f t="shared" si="13"/>
        <v>-1.0844079718640095E-3</v>
      </c>
      <c r="E312" t="s">
        <v>173</v>
      </c>
      <c r="F312" s="95">
        <f t="shared" si="14"/>
        <v>1.5021459227467811E-2</v>
      </c>
      <c r="G312" s="136">
        <f t="shared" si="12"/>
        <v>3103.4306382667787</v>
      </c>
      <c r="H312" s="187">
        <v>54592</v>
      </c>
      <c r="I312" s="89">
        <v>54742</v>
      </c>
      <c r="J312" s="89">
        <v>3610</v>
      </c>
      <c r="K312" s="89">
        <v>3515</v>
      </c>
      <c r="L312" s="89">
        <v>3455</v>
      </c>
      <c r="M312" s="89">
        <v>3400</v>
      </c>
      <c r="N312" s="89">
        <v>169888000</v>
      </c>
      <c r="O312" s="113" t="s">
        <v>430</v>
      </c>
      <c r="P312" s="256">
        <v>54592</v>
      </c>
      <c r="Q312" s="258">
        <v>54.8</v>
      </c>
      <c r="R312" s="258">
        <v>55</v>
      </c>
      <c r="S312" s="258">
        <v>55</v>
      </c>
      <c r="T312" s="258">
        <v>54.9</v>
      </c>
      <c r="U312" s="258">
        <v>54.8</v>
      </c>
      <c r="V312" s="258">
        <v>54.7</v>
      </c>
      <c r="W312" s="258">
        <v>54.5</v>
      </c>
      <c r="X312" s="258">
        <v>54.4</v>
      </c>
      <c r="Y312" s="258">
        <v>54.2</v>
      </c>
      <c r="Z312" s="258">
        <v>54</v>
      </c>
    </row>
    <row r="313" spans="1:26" x14ac:dyDescent="0.2">
      <c r="A313" t="s">
        <v>693</v>
      </c>
      <c r="C313" s="139" t="s">
        <v>213</v>
      </c>
      <c r="D313" s="95">
        <f t="shared" si="13"/>
        <v>-3.2523672293124743E-3</v>
      </c>
      <c r="E313" t="s">
        <v>578</v>
      </c>
      <c r="F313" s="95">
        <f t="shared" si="14"/>
        <v>2.4856596558317401E-2</v>
      </c>
      <c r="G313" s="136">
        <f t="shared" si="12"/>
        <v>1610.5728727885426</v>
      </c>
      <c r="H313" s="187">
        <v>4858</v>
      </c>
      <c r="I313" s="89">
        <v>4748</v>
      </c>
      <c r="J313" s="89">
        <v>685</v>
      </c>
      <c r="K313" s="89">
        <v>670</v>
      </c>
      <c r="L313" s="89">
        <v>640</v>
      </c>
      <c r="M313" s="89">
        <v>620</v>
      </c>
      <c r="N313" s="89">
        <v>7647000</v>
      </c>
      <c r="O313" s="113" t="s">
        <v>213</v>
      </c>
      <c r="P313" s="256">
        <v>4858</v>
      </c>
      <c r="Q313" s="258">
        <v>4.9000000000000004</v>
      </c>
      <c r="R313" s="258">
        <v>4.8</v>
      </c>
      <c r="S313" s="258">
        <v>4.8</v>
      </c>
      <c r="T313" s="258">
        <v>4.8</v>
      </c>
      <c r="U313" s="258">
        <v>4.8</v>
      </c>
      <c r="V313" s="258">
        <v>4.8</v>
      </c>
      <c r="W313" s="258">
        <v>4.7</v>
      </c>
      <c r="X313" s="258">
        <v>4.7</v>
      </c>
      <c r="Y313" s="258">
        <v>4.7</v>
      </c>
      <c r="Z313" s="258">
        <v>4.7</v>
      </c>
    </row>
    <row r="314" spans="1:26" x14ac:dyDescent="0.2">
      <c r="A314" t="s">
        <v>691</v>
      </c>
      <c r="C314" s="139" t="s">
        <v>354</v>
      </c>
      <c r="D314" s="95">
        <f t="shared" si="13"/>
        <v>-2.5398700531600706E-3</v>
      </c>
      <c r="E314" t="s">
        <v>173</v>
      </c>
      <c r="F314" s="95">
        <f t="shared" si="14"/>
        <v>2.1136063408190225E-2</v>
      </c>
      <c r="G314" s="136">
        <f t="shared" si="12"/>
        <v>2181.2262218320166</v>
      </c>
      <c r="H314" s="187">
        <v>13544</v>
      </c>
      <c r="I314" s="89">
        <v>13668</v>
      </c>
      <c r="J314" s="89">
        <v>1980</v>
      </c>
      <c r="K314" s="89">
        <v>1915</v>
      </c>
      <c r="L314" s="89">
        <v>1855</v>
      </c>
      <c r="M314" s="89">
        <v>1820</v>
      </c>
      <c r="N314" s="89">
        <v>29813000</v>
      </c>
      <c r="O314" s="113" t="s">
        <v>354</v>
      </c>
      <c r="P314" s="256">
        <v>13544</v>
      </c>
      <c r="Q314" s="258">
        <v>13.6</v>
      </c>
      <c r="R314" s="258">
        <v>13.6</v>
      </c>
      <c r="S314" s="258">
        <v>13.5</v>
      </c>
      <c r="T314" s="258">
        <v>13.5</v>
      </c>
      <c r="U314" s="258">
        <v>13.5</v>
      </c>
      <c r="V314" s="258">
        <v>13.5</v>
      </c>
      <c r="W314" s="258">
        <v>13.4</v>
      </c>
      <c r="X314" s="258">
        <v>13.4</v>
      </c>
      <c r="Y314" s="258">
        <v>13.3</v>
      </c>
      <c r="Z314" s="258">
        <v>13.2</v>
      </c>
    </row>
    <row r="315" spans="1:26" x14ac:dyDescent="0.2">
      <c r="A315" t="s">
        <v>694</v>
      </c>
      <c r="C315" s="139" t="s">
        <v>409</v>
      </c>
      <c r="D315" s="95">
        <f t="shared" si="13"/>
        <v>1.6845838412944695E-3</v>
      </c>
      <c r="E315" t="s">
        <v>173</v>
      </c>
      <c r="F315" s="95">
        <f t="shared" si="14"/>
        <v>2.252057167605024E-2</v>
      </c>
      <c r="G315" s="136">
        <f t="shared" si="12"/>
        <v>-705.12209481622699</v>
      </c>
      <c r="H315" s="187">
        <v>36092</v>
      </c>
      <c r="I315" s="89">
        <v>35669</v>
      </c>
      <c r="J315" s="89">
        <v>3045</v>
      </c>
      <c r="K315" s="89">
        <v>2910</v>
      </c>
      <c r="L315" s="89">
        <v>2805</v>
      </c>
      <c r="M315" s="89">
        <v>2785</v>
      </c>
      <c r="N315" s="89">
        <v>-25151000</v>
      </c>
      <c r="O315" s="113" t="s">
        <v>409</v>
      </c>
      <c r="P315" s="256">
        <v>36092</v>
      </c>
      <c r="Q315" s="258">
        <v>36.200000000000003</v>
      </c>
      <c r="R315" s="258">
        <v>36.299999999999997</v>
      </c>
      <c r="S315" s="258">
        <v>36.4</v>
      </c>
      <c r="T315" s="258">
        <v>36.4</v>
      </c>
      <c r="U315" s="258">
        <v>36.5</v>
      </c>
      <c r="V315" s="258">
        <v>36.5</v>
      </c>
      <c r="W315" s="258">
        <v>36.6</v>
      </c>
      <c r="X315" s="258">
        <v>36.6</v>
      </c>
      <c r="Y315" s="258">
        <v>36.700000000000003</v>
      </c>
      <c r="Z315" s="258">
        <v>36.700000000000003</v>
      </c>
    </row>
    <row r="316" spans="1:26" x14ac:dyDescent="0.2">
      <c r="A316" t="s">
        <v>701</v>
      </c>
      <c r="C316" s="139" t="s">
        <v>431</v>
      </c>
      <c r="D316" s="95">
        <f t="shared" si="13"/>
        <v>-2.0606440492047327E-3</v>
      </c>
      <c r="E316" t="s">
        <v>578</v>
      </c>
      <c r="F316" s="95">
        <f t="shared" si="14"/>
        <v>1.5114873035066506E-2</v>
      </c>
      <c r="G316" s="136">
        <f t="shared" si="12"/>
        <v>1717.2278778386844</v>
      </c>
      <c r="H316" s="187">
        <v>25526</v>
      </c>
      <c r="I316" s="89">
        <v>25540</v>
      </c>
      <c r="J316" s="89">
        <v>2150</v>
      </c>
      <c r="K316" s="89">
        <v>2085</v>
      </c>
      <c r="L316" s="89">
        <v>2010</v>
      </c>
      <c r="M316" s="89">
        <v>2025</v>
      </c>
      <c r="N316" s="89">
        <v>43858000</v>
      </c>
      <c r="O316" s="113" t="s">
        <v>431</v>
      </c>
      <c r="P316" s="256">
        <v>25526</v>
      </c>
      <c r="Q316" s="258">
        <v>25.3</v>
      </c>
      <c r="R316" s="258">
        <v>25.1</v>
      </c>
      <c r="S316" s="258">
        <v>25.1</v>
      </c>
      <c r="T316" s="258">
        <v>25.1</v>
      </c>
      <c r="U316" s="258">
        <v>25.1</v>
      </c>
      <c r="V316" s="258">
        <v>25.1</v>
      </c>
      <c r="W316" s="258">
        <v>25.1</v>
      </c>
      <c r="X316" s="258">
        <v>25</v>
      </c>
      <c r="Y316" s="258">
        <v>25</v>
      </c>
      <c r="Z316" s="258">
        <v>25</v>
      </c>
    </row>
    <row r="317" spans="1:26" x14ac:dyDescent="0.2">
      <c r="A317" t="s">
        <v>692</v>
      </c>
      <c r="C317" s="139" t="s">
        <v>284</v>
      </c>
      <c r="D317" s="95">
        <f t="shared" si="13"/>
        <v>2.6270757513677668E-4</v>
      </c>
      <c r="E317" t="s">
        <v>544</v>
      </c>
      <c r="F317" s="95">
        <f t="shared" si="14"/>
        <v>1.610305958132045E-2</v>
      </c>
      <c r="G317" s="136">
        <f t="shared" si="12"/>
        <v>1216.8950321477594</v>
      </c>
      <c r="H317" s="187">
        <v>41491</v>
      </c>
      <c r="I317" s="89">
        <v>41527</v>
      </c>
      <c r="J317" s="89">
        <v>3220</v>
      </c>
      <c r="K317" s="89">
        <v>3150</v>
      </c>
      <c r="L317" s="89">
        <v>3030</v>
      </c>
      <c r="M317" s="89">
        <v>3020</v>
      </c>
      <c r="N317" s="89">
        <v>50534000</v>
      </c>
      <c r="O317" s="113" t="s">
        <v>284</v>
      </c>
      <c r="P317" s="256">
        <v>41491</v>
      </c>
      <c r="Q317" s="258">
        <v>41.3</v>
      </c>
      <c r="R317" s="258">
        <v>41.2</v>
      </c>
      <c r="S317" s="258">
        <v>41.3</v>
      </c>
      <c r="T317" s="258">
        <v>41.3</v>
      </c>
      <c r="U317" s="258">
        <v>41.4</v>
      </c>
      <c r="V317" s="258">
        <v>41.5</v>
      </c>
      <c r="W317" s="258">
        <v>41.5</v>
      </c>
      <c r="X317" s="258">
        <v>41.5</v>
      </c>
      <c r="Y317" s="258">
        <v>41.6</v>
      </c>
      <c r="Z317" s="258">
        <v>41.6</v>
      </c>
    </row>
    <row r="318" spans="1:26" x14ac:dyDescent="0.2">
      <c r="A318" t="s">
        <v>690</v>
      </c>
      <c r="C318" s="139" t="s">
        <v>485</v>
      </c>
      <c r="D318" s="95">
        <f t="shared" si="13"/>
        <v>8.9132061354283577E-3</v>
      </c>
      <c r="E318" t="s">
        <v>544</v>
      </c>
      <c r="F318" s="95">
        <f t="shared" si="14"/>
        <v>2.0038567955059948E-2</v>
      </c>
      <c r="G318" s="136">
        <f t="shared" si="12"/>
        <v>-148.54995664322189</v>
      </c>
      <c r="H318" s="187">
        <v>213840</v>
      </c>
      <c r="I318" s="89">
        <v>207580</v>
      </c>
      <c r="J318" s="89">
        <v>15525</v>
      </c>
      <c r="K318" s="89">
        <v>15185</v>
      </c>
      <c r="L318" s="89">
        <v>14595</v>
      </c>
      <c r="M318" s="89">
        <v>14330</v>
      </c>
      <c r="N318" s="89">
        <v>-30836000</v>
      </c>
      <c r="O318" s="113" t="s">
        <v>485</v>
      </c>
      <c r="P318" s="256">
        <v>213840</v>
      </c>
      <c r="Q318" s="258">
        <v>216</v>
      </c>
      <c r="R318" s="258">
        <v>218.3</v>
      </c>
      <c r="S318" s="258">
        <v>220.4</v>
      </c>
      <c r="T318" s="258">
        <v>222.6</v>
      </c>
      <c r="U318" s="258">
        <v>224.7</v>
      </c>
      <c r="V318" s="258">
        <v>226.6</v>
      </c>
      <c r="W318" s="258">
        <v>228.4</v>
      </c>
      <c r="X318" s="258">
        <v>230.1</v>
      </c>
      <c r="Y318" s="258">
        <v>231.5</v>
      </c>
      <c r="Z318" s="258">
        <v>232.9</v>
      </c>
    </row>
    <row r="319" spans="1:26" x14ac:dyDescent="0.2">
      <c r="A319" t="s">
        <v>695</v>
      </c>
      <c r="C319" s="139" t="s">
        <v>236</v>
      </c>
      <c r="D319" s="95">
        <f t="shared" si="13"/>
        <v>-4.0279878971255676E-3</v>
      </c>
      <c r="E319" t="s">
        <v>578</v>
      </c>
      <c r="F319" s="95">
        <f t="shared" si="14"/>
        <v>1.7067003792667509E-2</v>
      </c>
      <c r="G319" s="136">
        <f t="shared" si="12"/>
        <v>319.90945958690935</v>
      </c>
      <c r="H319" s="187">
        <v>21152</v>
      </c>
      <c r="I319" s="89">
        <v>21206</v>
      </c>
      <c r="J319" s="89">
        <v>2055</v>
      </c>
      <c r="K319" s="89">
        <v>1985</v>
      </c>
      <c r="L319" s="89">
        <v>1950</v>
      </c>
      <c r="M319" s="89">
        <v>1920</v>
      </c>
      <c r="N319" s="89">
        <v>6784000</v>
      </c>
      <c r="O319" s="113" t="s">
        <v>236</v>
      </c>
      <c r="P319" s="256">
        <v>21152</v>
      </c>
      <c r="Q319" s="258">
        <v>21</v>
      </c>
      <c r="R319" s="258">
        <v>21</v>
      </c>
      <c r="S319" s="258">
        <v>20.9</v>
      </c>
      <c r="T319" s="258">
        <v>20.8</v>
      </c>
      <c r="U319" s="258">
        <v>20.8</v>
      </c>
      <c r="V319" s="258">
        <v>20.7</v>
      </c>
      <c r="W319" s="258">
        <v>20.6</v>
      </c>
      <c r="X319" s="258">
        <v>20.5</v>
      </c>
      <c r="Y319" s="258">
        <v>20.399999999999999</v>
      </c>
      <c r="Z319" s="258">
        <v>20.3</v>
      </c>
    </row>
    <row r="320" spans="1:26" x14ac:dyDescent="0.2">
      <c r="A320" t="s">
        <v>695</v>
      </c>
      <c r="C320" s="139" t="s">
        <v>237</v>
      </c>
      <c r="D320" s="95">
        <f t="shared" si="13"/>
        <v>-3.6728422421180153E-3</v>
      </c>
      <c r="E320" t="s">
        <v>173</v>
      </c>
      <c r="F320" s="95">
        <f t="shared" si="14"/>
        <v>2.5093432995194873E-2</v>
      </c>
      <c r="G320" s="136">
        <f t="shared" si="12"/>
        <v>673.14097085089452</v>
      </c>
      <c r="H320" s="187">
        <v>33843</v>
      </c>
      <c r="I320" s="89">
        <v>33929</v>
      </c>
      <c r="J320" s="89">
        <v>2455</v>
      </c>
      <c r="K320" s="89">
        <v>2410</v>
      </c>
      <c r="L320" s="89">
        <v>2280</v>
      </c>
      <c r="M320" s="89">
        <v>2220</v>
      </c>
      <c r="N320" s="89">
        <v>22839000</v>
      </c>
      <c r="O320" s="113" t="s">
        <v>237</v>
      </c>
      <c r="P320" s="256">
        <v>33843</v>
      </c>
      <c r="Q320" s="258">
        <v>33.799999999999997</v>
      </c>
      <c r="R320" s="258">
        <v>33.700000000000003</v>
      </c>
      <c r="S320" s="258">
        <v>33.4</v>
      </c>
      <c r="T320" s="258">
        <v>33.299999999999997</v>
      </c>
      <c r="U320" s="258">
        <v>33.200000000000003</v>
      </c>
      <c r="V320" s="258">
        <v>33.1</v>
      </c>
      <c r="W320" s="258">
        <v>32.9</v>
      </c>
      <c r="X320" s="258">
        <v>32.799999999999997</v>
      </c>
      <c r="Y320" s="258">
        <v>32.799999999999997</v>
      </c>
      <c r="Z320" s="258">
        <v>32.6</v>
      </c>
    </row>
    <row r="321" spans="1:26" x14ac:dyDescent="0.2">
      <c r="A321" t="s">
        <v>689</v>
      </c>
      <c r="C321" s="139" t="s">
        <v>170</v>
      </c>
      <c r="D321" s="95">
        <f t="shared" si="13"/>
        <v>-2.3437499999999999E-3</v>
      </c>
      <c r="E321" t="s">
        <v>578</v>
      </c>
      <c r="F321" s="95">
        <f t="shared" si="14"/>
        <v>2.9564315352697094E-2</v>
      </c>
      <c r="G321" s="136">
        <f t="shared" ref="G321:G383" si="15">N321/I321</f>
        <v>1738.2019346663783</v>
      </c>
      <c r="H321" s="187">
        <v>33280</v>
      </c>
      <c r="I321" s="89">
        <v>32357</v>
      </c>
      <c r="J321" s="89">
        <v>2560</v>
      </c>
      <c r="K321" s="89">
        <v>2445</v>
      </c>
      <c r="L321" s="89">
        <v>2360</v>
      </c>
      <c r="M321" s="89">
        <v>2275</v>
      </c>
      <c r="N321" s="89">
        <v>56243000</v>
      </c>
      <c r="O321" s="113" t="s">
        <v>170</v>
      </c>
      <c r="P321" s="256">
        <v>33280</v>
      </c>
      <c r="Q321" s="258">
        <v>33.1</v>
      </c>
      <c r="R321" s="258">
        <v>33.1</v>
      </c>
      <c r="S321" s="258">
        <v>33.1</v>
      </c>
      <c r="T321" s="258">
        <v>32.9</v>
      </c>
      <c r="U321" s="258">
        <v>32.799999999999997</v>
      </c>
      <c r="V321" s="258">
        <v>32.700000000000003</v>
      </c>
      <c r="W321" s="258">
        <v>32.5</v>
      </c>
      <c r="X321" s="258">
        <v>32.5</v>
      </c>
      <c r="Y321" s="258">
        <v>32.5</v>
      </c>
      <c r="Z321" s="258">
        <v>32.5</v>
      </c>
    </row>
    <row r="322" spans="1:26" x14ac:dyDescent="0.2">
      <c r="A322" t="s">
        <v>693</v>
      </c>
      <c r="C322" s="139" t="s">
        <v>214</v>
      </c>
      <c r="D322" s="95">
        <f t="shared" ref="D322:D384" si="16">(SUM(Z322*1000,-P322)/10)/P322</f>
        <v>-2.5015634771732333E-4</v>
      </c>
      <c r="E322" t="s">
        <v>173</v>
      </c>
      <c r="F322" s="95">
        <f t="shared" si="14"/>
        <v>2.4035774175517048E-2</v>
      </c>
      <c r="G322" s="136">
        <f t="shared" si="15"/>
        <v>912.75960701405302</v>
      </c>
      <c r="H322" s="187">
        <v>31980</v>
      </c>
      <c r="I322" s="89">
        <v>32164</v>
      </c>
      <c r="J322" s="89">
        <v>2360</v>
      </c>
      <c r="K322" s="89">
        <v>2255</v>
      </c>
      <c r="L322" s="89">
        <v>2185</v>
      </c>
      <c r="M322" s="89">
        <v>2145</v>
      </c>
      <c r="N322" s="89">
        <v>29358000</v>
      </c>
      <c r="O322" s="113" t="s">
        <v>214</v>
      </c>
      <c r="P322" s="256">
        <v>31980</v>
      </c>
      <c r="Q322" s="258">
        <v>32.200000000000003</v>
      </c>
      <c r="R322" s="258">
        <v>32.200000000000003</v>
      </c>
      <c r="S322" s="258">
        <v>32.200000000000003</v>
      </c>
      <c r="T322" s="258">
        <v>32.1</v>
      </c>
      <c r="U322" s="258">
        <v>32</v>
      </c>
      <c r="V322" s="258">
        <v>32</v>
      </c>
      <c r="W322" s="258">
        <v>32</v>
      </c>
      <c r="X322" s="258">
        <v>31.9</v>
      </c>
      <c r="Y322" s="258">
        <v>31.9</v>
      </c>
      <c r="Z322" s="258">
        <v>31.9</v>
      </c>
    </row>
    <row r="323" spans="1:26" x14ac:dyDescent="0.2">
      <c r="A323" t="s">
        <v>690</v>
      </c>
      <c r="C323" s="139" t="s">
        <v>486</v>
      </c>
      <c r="D323" s="95">
        <f t="shared" si="16"/>
        <v>2.9308720129509265E-3</v>
      </c>
      <c r="E323" t="s">
        <v>173</v>
      </c>
      <c r="F323" s="95">
        <f t="shared" si="14"/>
        <v>1.6192994051553205E-2</v>
      </c>
      <c r="G323" s="136">
        <f t="shared" si="15"/>
        <v>1665.2616100968019</v>
      </c>
      <c r="H323" s="187">
        <v>41387</v>
      </c>
      <c r="I323" s="89">
        <v>40805</v>
      </c>
      <c r="J323" s="89">
        <v>3920</v>
      </c>
      <c r="K323" s="89">
        <v>3825</v>
      </c>
      <c r="L323" s="89">
        <v>3710</v>
      </c>
      <c r="M323" s="89">
        <v>3675</v>
      </c>
      <c r="N323" s="89">
        <v>67951000</v>
      </c>
      <c r="O323" s="113" t="s">
        <v>486</v>
      </c>
      <c r="P323" s="256">
        <v>41387</v>
      </c>
      <c r="Q323" s="258">
        <v>41.4</v>
      </c>
      <c r="R323" s="258">
        <v>41.8</v>
      </c>
      <c r="S323" s="258">
        <v>42.2</v>
      </c>
      <c r="T323" s="258">
        <v>42.4</v>
      </c>
      <c r="U323" s="258">
        <v>42.5</v>
      </c>
      <c r="V323" s="258">
        <v>42.5</v>
      </c>
      <c r="W323" s="258">
        <v>42.5</v>
      </c>
      <c r="X323" s="258">
        <v>42.5</v>
      </c>
      <c r="Y323" s="258">
        <v>42.5</v>
      </c>
      <c r="Z323" s="258">
        <v>42.6</v>
      </c>
    </row>
    <row r="324" spans="1:26" x14ac:dyDescent="0.2">
      <c r="A324" t="s">
        <v>691</v>
      </c>
      <c r="C324" s="139" t="s">
        <v>355</v>
      </c>
      <c r="D324" s="95">
        <f t="shared" si="16"/>
        <v>6.9042316258351895E-3</v>
      </c>
      <c r="E324" t="s">
        <v>578</v>
      </c>
      <c r="F324" s="95">
        <f t="shared" ref="F324:F386" si="17">SUM(J324,-M324)/SUM(J324,K324,L324,M324)</f>
        <v>2.3869346733668341E-2</v>
      </c>
      <c r="G324" s="136">
        <f t="shared" si="15"/>
        <v>313.63883073583003</v>
      </c>
      <c r="H324" s="187">
        <v>13470</v>
      </c>
      <c r="I324" s="89">
        <v>12897</v>
      </c>
      <c r="J324" s="89">
        <v>1045</v>
      </c>
      <c r="K324" s="89">
        <v>1000</v>
      </c>
      <c r="L324" s="89">
        <v>985</v>
      </c>
      <c r="M324" s="89">
        <v>950</v>
      </c>
      <c r="N324" s="89">
        <v>4045000</v>
      </c>
      <c r="O324" s="113" t="s">
        <v>355</v>
      </c>
      <c r="P324" s="256">
        <v>13470</v>
      </c>
      <c r="Q324" s="258">
        <v>13.7</v>
      </c>
      <c r="R324" s="258">
        <v>13.9</v>
      </c>
      <c r="S324" s="258">
        <v>14.1</v>
      </c>
      <c r="T324" s="258">
        <v>14.3</v>
      </c>
      <c r="U324" s="258">
        <v>14.3</v>
      </c>
      <c r="V324" s="258">
        <v>14.4</v>
      </c>
      <c r="W324" s="258">
        <v>14.3</v>
      </c>
      <c r="X324" s="258">
        <v>14.3</v>
      </c>
      <c r="Y324" s="258">
        <v>14.4</v>
      </c>
      <c r="Z324" s="258">
        <v>14.4</v>
      </c>
    </row>
    <row r="325" spans="1:26" x14ac:dyDescent="0.2">
      <c r="A325" t="s">
        <v>691</v>
      </c>
      <c r="C325" s="139" t="s">
        <v>356</v>
      </c>
      <c r="D325" s="95">
        <f t="shared" si="16"/>
        <v>4.106023766309373E-3</v>
      </c>
      <c r="E325" t="s">
        <v>578</v>
      </c>
      <c r="F325" s="95">
        <f t="shared" si="17"/>
        <v>2.0717534108135423E-2</v>
      </c>
      <c r="G325" s="136">
        <f t="shared" si="15"/>
        <v>1490.0942896493273</v>
      </c>
      <c r="H325" s="187">
        <v>29201</v>
      </c>
      <c r="I325" s="89">
        <v>28317</v>
      </c>
      <c r="J325" s="89">
        <v>2575</v>
      </c>
      <c r="K325" s="89">
        <v>2495</v>
      </c>
      <c r="L325" s="89">
        <v>2455</v>
      </c>
      <c r="M325" s="89">
        <v>2370</v>
      </c>
      <c r="N325" s="89">
        <v>42195000</v>
      </c>
      <c r="O325" s="113" t="s">
        <v>356</v>
      </c>
      <c r="P325" s="256">
        <v>29201</v>
      </c>
      <c r="Q325" s="258">
        <v>29.3</v>
      </c>
      <c r="R325" s="258">
        <v>29.6</v>
      </c>
      <c r="S325" s="258">
        <v>29.8</v>
      </c>
      <c r="T325" s="258">
        <v>29.9</v>
      </c>
      <c r="U325" s="258">
        <v>30</v>
      </c>
      <c r="V325" s="258">
        <v>30.1</v>
      </c>
      <c r="W325" s="258">
        <v>30.1</v>
      </c>
      <c r="X325" s="258">
        <v>30.2</v>
      </c>
      <c r="Y325" s="258">
        <v>30.3</v>
      </c>
      <c r="Z325" s="258">
        <v>30.4</v>
      </c>
    </row>
    <row r="326" spans="1:26" x14ac:dyDescent="0.2">
      <c r="A326" t="s">
        <v>696</v>
      </c>
      <c r="C326" s="139" t="s">
        <v>533</v>
      </c>
      <c r="D326" s="95">
        <f t="shared" si="16"/>
        <v>9.7922848664688429E-3</v>
      </c>
      <c r="E326" t="s">
        <v>173</v>
      </c>
      <c r="F326" s="95">
        <f t="shared" si="17"/>
        <v>2.9661016949152543E-2</v>
      </c>
      <c r="G326" s="136">
        <f t="shared" si="15"/>
        <v>1904.8021108179419</v>
      </c>
      <c r="H326" s="187">
        <v>20220</v>
      </c>
      <c r="I326" s="89">
        <v>18950</v>
      </c>
      <c r="J326" s="89">
        <v>1570</v>
      </c>
      <c r="K326" s="89">
        <v>1490</v>
      </c>
      <c r="L326" s="89">
        <v>1445</v>
      </c>
      <c r="M326" s="89">
        <v>1395</v>
      </c>
      <c r="N326" s="89">
        <v>36096000</v>
      </c>
      <c r="O326" s="113" t="s">
        <v>533</v>
      </c>
      <c r="P326" s="256">
        <v>20220</v>
      </c>
      <c r="Q326" s="258">
        <v>20.2</v>
      </c>
      <c r="R326" s="258">
        <v>20.399999999999999</v>
      </c>
      <c r="S326" s="258">
        <v>20.7</v>
      </c>
      <c r="T326" s="258">
        <v>20.9</v>
      </c>
      <c r="U326" s="258">
        <v>21.1</v>
      </c>
      <c r="V326" s="258">
        <v>21.3</v>
      </c>
      <c r="W326" s="258">
        <v>21.5</v>
      </c>
      <c r="X326" s="258">
        <v>21.7</v>
      </c>
      <c r="Y326" s="258">
        <v>21.9</v>
      </c>
      <c r="Z326" s="258">
        <v>22.2</v>
      </c>
    </row>
    <row r="327" spans="1:26" x14ac:dyDescent="0.2">
      <c r="A327" t="s">
        <v>697</v>
      </c>
      <c r="C327" s="139" t="s">
        <v>311</v>
      </c>
      <c r="D327" s="95">
        <f t="shared" si="16"/>
        <v>1.3440944835988643E-2</v>
      </c>
      <c r="E327" t="s">
        <v>544</v>
      </c>
      <c r="F327" s="95">
        <f t="shared" si="17"/>
        <v>3.4419534961246771E-2</v>
      </c>
      <c r="G327" s="136">
        <f t="shared" si="15"/>
        <v>1090.1177772508101</v>
      </c>
      <c r="H327" s="187">
        <v>343086</v>
      </c>
      <c r="I327" s="89">
        <v>316275</v>
      </c>
      <c r="J327" s="89">
        <v>32250</v>
      </c>
      <c r="K327" s="89">
        <v>30715</v>
      </c>
      <c r="L327" s="89">
        <v>28905</v>
      </c>
      <c r="M327" s="89">
        <v>28120</v>
      </c>
      <c r="N327" s="89">
        <v>344777000</v>
      </c>
      <c r="O327" s="113" t="s">
        <v>311</v>
      </c>
      <c r="P327" s="256">
        <v>343086</v>
      </c>
      <c r="Q327" s="258">
        <v>344</v>
      </c>
      <c r="R327" s="258">
        <v>349.8</v>
      </c>
      <c r="S327" s="258">
        <v>355.4</v>
      </c>
      <c r="T327" s="258">
        <v>360.7</v>
      </c>
      <c r="U327" s="258">
        <v>366</v>
      </c>
      <c r="V327" s="258">
        <v>370.9</v>
      </c>
      <c r="W327" s="258">
        <v>375.8</v>
      </c>
      <c r="X327" s="258">
        <v>380.3</v>
      </c>
      <c r="Y327" s="258">
        <v>384.7</v>
      </c>
      <c r="Z327" s="258">
        <v>389.2</v>
      </c>
    </row>
    <row r="328" spans="1:26" x14ac:dyDescent="0.2">
      <c r="A328" t="s">
        <v>697</v>
      </c>
      <c r="C328" s="139" t="s">
        <v>312</v>
      </c>
      <c r="D328" s="95">
        <f t="shared" si="16"/>
        <v>5.2781915002142283E-3</v>
      </c>
      <c r="E328" t="s">
        <v>578</v>
      </c>
      <c r="F328" s="95">
        <f t="shared" si="17"/>
        <v>1.9167717528373266E-2</v>
      </c>
      <c r="G328" s="136">
        <f t="shared" si="15"/>
        <v>1906.0641846396088</v>
      </c>
      <c r="H328" s="187">
        <v>49013</v>
      </c>
      <c r="I328" s="89">
        <v>48267</v>
      </c>
      <c r="J328" s="89">
        <v>5180</v>
      </c>
      <c r="K328" s="89">
        <v>4995</v>
      </c>
      <c r="L328" s="89">
        <v>4850</v>
      </c>
      <c r="M328" s="89">
        <v>4800</v>
      </c>
      <c r="N328" s="89">
        <v>92000000</v>
      </c>
      <c r="O328" s="113" t="s">
        <v>312</v>
      </c>
      <c r="P328" s="256">
        <v>49013</v>
      </c>
      <c r="Q328" s="258">
        <v>49.6</v>
      </c>
      <c r="R328" s="258">
        <v>50.2</v>
      </c>
      <c r="S328" s="258">
        <v>50.4</v>
      </c>
      <c r="T328" s="258">
        <v>50.6</v>
      </c>
      <c r="U328" s="258">
        <v>50.8</v>
      </c>
      <c r="V328" s="258">
        <v>51</v>
      </c>
      <c r="W328" s="258">
        <v>51.1</v>
      </c>
      <c r="X328" s="258">
        <v>51.3</v>
      </c>
      <c r="Y328" s="258">
        <v>51.4</v>
      </c>
      <c r="Z328" s="258">
        <v>51.6</v>
      </c>
    </row>
    <row r="329" spans="1:26" x14ac:dyDescent="0.2">
      <c r="A329" t="s">
        <v>699</v>
      </c>
      <c r="C329" s="139" t="s">
        <v>523</v>
      </c>
      <c r="D329" s="95">
        <f t="shared" si="16"/>
        <v>-3.0918272699165208E-5</v>
      </c>
      <c r="E329" t="s">
        <v>173</v>
      </c>
      <c r="F329" s="95">
        <f t="shared" si="17"/>
        <v>2.0408163265306124E-3</v>
      </c>
      <c r="G329" s="136">
        <f t="shared" si="15"/>
        <v>1959.9958970150785</v>
      </c>
      <c r="H329" s="187">
        <v>9703</v>
      </c>
      <c r="I329" s="89">
        <v>9749</v>
      </c>
      <c r="J329" s="89">
        <v>615</v>
      </c>
      <c r="K329" s="89">
        <v>620</v>
      </c>
      <c r="L329" s="89">
        <v>605</v>
      </c>
      <c r="M329" s="89">
        <v>610</v>
      </c>
      <c r="N329" s="89">
        <v>19108000</v>
      </c>
      <c r="O329" s="113" t="s">
        <v>523</v>
      </c>
      <c r="P329" s="256">
        <v>9703</v>
      </c>
      <c r="Q329" s="258">
        <v>9.6999999999999993</v>
      </c>
      <c r="R329" s="258">
        <v>9.8000000000000007</v>
      </c>
      <c r="S329" s="258">
        <v>9.8000000000000007</v>
      </c>
      <c r="T329" s="258">
        <v>9.6999999999999993</v>
      </c>
      <c r="U329" s="258">
        <v>9.6999999999999993</v>
      </c>
      <c r="V329" s="258">
        <v>9.6999999999999993</v>
      </c>
      <c r="W329" s="258">
        <v>9.6999999999999993</v>
      </c>
      <c r="X329" s="258">
        <v>9.6999999999999993</v>
      </c>
      <c r="Y329" s="258">
        <v>9.6999999999999993</v>
      </c>
      <c r="Z329" s="258">
        <v>9.6999999999999993</v>
      </c>
    </row>
    <row r="330" spans="1:26" x14ac:dyDescent="0.2">
      <c r="A330" t="s">
        <v>699</v>
      </c>
      <c r="C330" s="139" t="s">
        <v>524</v>
      </c>
      <c r="D330" s="95">
        <f t="shared" si="16"/>
        <v>9.7323600973236014E-4</v>
      </c>
      <c r="E330" t="s">
        <v>173</v>
      </c>
      <c r="F330" s="95">
        <f t="shared" si="17"/>
        <v>1.0230179028132993E-2</v>
      </c>
      <c r="G330" s="136">
        <f t="shared" si="15"/>
        <v>397.10829153142521</v>
      </c>
      <c r="H330" s="187">
        <v>16440</v>
      </c>
      <c r="I330" s="89">
        <v>16945</v>
      </c>
      <c r="J330" s="89">
        <v>1500</v>
      </c>
      <c r="K330" s="89">
        <v>1460</v>
      </c>
      <c r="L330" s="89">
        <v>1465</v>
      </c>
      <c r="M330" s="89">
        <v>1440</v>
      </c>
      <c r="N330" s="89">
        <v>6729000</v>
      </c>
      <c r="O330" s="113" t="s">
        <v>524</v>
      </c>
      <c r="P330" s="256">
        <v>16440</v>
      </c>
      <c r="Q330" s="258">
        <v>16.899999999999999</v>
      </c>
      <c r="R330" s="258">
        <v>17</v>
      </c>
      <c r="S330" s="258">
        <v>17</v>
      </c>
      <c r="T330" s="258">
        <v>17</v>
      </c>
      <c r="U330" s="258">
        <v>16.899999999999999</v>
      </c>
      <c r="V330" s="258">
        <v>16.899999999999999</v>
      </c>
      <c r="W330" s="258">
        <v>16.899999999999999</v>
      </c>
      <c r="X330" s="258">
        <v>16.8</v>
      </c>
      <c r="Y330" s="258">
        <v>16.7</v>
      </c>
      <c r="Z330" s="258">
        <v>16.600000000000001</v>
      </c>
    </row>
    <row r="331" spans="1:26" x14ac:dyDescent="0.2">
      <c r="A331" t="s">
        <v>690</v>
      </c>
      <c r="C331" s="139" t="s">
        <v>487</v>
      </c>
      <c r="D331" s="95">
        <f t="shared" si="16"/>
        <v>-4.96477142388989E-3</v>
      </c>
      <c r="E331" t="s">
        <v>173</v>
      </c>
      <c r="F331" s="95">
        <f t="shared" si="17"/>
        <v>9.2549745488199903E-3</v>
      </c>
      <c r="G331" s="136">
        <f t="shared" si="15"/>
        <v>1165.2970716754712</v>
      </c>
      <c r="H331" s="187">
        <v>30515</v>
      </c>
      <c r="I331" s="89">
        <v>30666</v>
      </c>
      <c r="J331" s="89">
        <v>2775</v>
      </c>
      <c r="K331" s="89">
        <v>2695</v>
      </c>
      <c r="L331" s="89">
        <v>2660</v>
      </c>
      <c r="M331" s="89">
        <v>2675</v>
      </c>
      <c r="N331" s="89">
        <v>35735000</v>
      </c>
      <c r="O331" s="113" t="s">
        <v>487</v>
      </c>
      <c r="P331" s="256">
        <v>30515</v>
      </c>
      <c r="Q331" s="258">
        <v>30.2</v>
      </c>
      <c r="R331" s="258">
        <v>30.1</v>
      </c>
      <c r="S331" s="258">
        <v>30</v>
      </c>
      <c r="T331" s="258">
        <v>29.9</v>
      </c>
      <c r="U331" s="258">
        <v>29.7</v>
      </c>
      <c r="V331" s="258">
        <v>29.6</v>
      </c>
      <c r="W331" s="258">
        <v>29.5</v>
      </c>
      <c r="X331" s="258">
        <v>29.3</v>
      </c>
      <c r="Y331" s="258">
        <v>29.2</v>
      </c>
      <c r="Z331" s="258">
        <v>29</v>
      </c>
    </row>
    <row r="332" spans="1:26" x14ac:dyDescent="0.2">
      <c r="A332" t="s">
        <v>698</v>
      </c>
      <c r="C332" s="139" t="s">
        <v>193</v>
      </c>
      <c r="D332" s="95">
        <f t="shared" si="16"/>
        <v>-5.180556564702463E-3</v>
      </c>
      <c r="E332" t="s">
        <v>544</v>
      </c>
      <c r="F332" s="95">
        <f t="shared" si="17"/>
        <v>6.8649885583524023E-3</v>
      </c>
      <c r="G332" s="136">
        <f t="shared" si="15"/>
        <v>133.13037249283667</v>
      </c>
      <c r="H332" s="187">
        <v>27526</v>
      </c>
      <c r="I332" s="89">
        <v>27920</v>
      </c>
      <c r="J332" s="89">
        <v>1670</v>
      </c>
      <c r="K332" s="89">
        <v>1635</v>
      </c>
      <c r="L332" s="89">
        <v>1625</v>
      </c>
      <c r="M332" s="89">
        <v>1625</v>
      </c>
      <c r="N332" s="89">
        <v>3717000</v>
      </c>
      <c r="O332" s="113" t="s">
        <v>193</v>
      </c>
      <c r="P332" s="256">
        <v>27526</v>
      </c>
      <c r="Q332" s="258">
        <v>27.4</v>
      </c>
      <c r="R332" s="258">
        <v>27.3</v>
      </c>
      <c r="S332" s="258">
        <v>27.1</v>
      </c>
      <c r="T332" s="258">
        <v>27</v>
      </c>
      <c r="U332" s="258">
        <v>26.8</v>
      </c>
      <c r="V332" s="258">
        <v>26.6</v>
      </c>
      <c r="W332" s="258">
        <v>26.5</v>
      </c>
      <c r="X332" s="258">
        <v>26.3</v>
      </c>
      <c r="Y332" s="258">
        <v>26.2</v>
      </c>
      <c r="Z332" s="258">
        <v>26.1</v>
      </c>
    </row>
    <row r="333" spans="1:26" x14ac:dyDescent="0.2">
      <c r="A333" t="s">
        <v>697</v>
      </c>
      <c r="C333" s="139" t="s">
        <v>313</v>
      </c>
      <c r="D333" s="95">
        <f t="shared" si="16"/>
        <v>9.5824777549624672E-4</v>
      </c>
      <c r="E333" t="s">
        <v>544</v>
      </c>
      <c r="F333" s="95">
        <f t="shared" si="17"/>
        <v>9.093270979475189E-3</v>
      </c>
      <c r="G333" s="136">
        <f t="shared" si="15"/>
        <v>2037.5695880388103</v>
      </c>
      <c r="H333" s="187">
        <v>64284</v>
      </c>
      <c r="I333" s="89">
        <v>62870</v>
      </c>
      <c r="J333" s="89">
        <v>4965</v>
      </c>
      <c r="K333" s="89">
        <v>4810</v>
      </c>
      <c r="L333" s="89">
        <v>4680</v>
      </c>
      <c r="M333" s="89">
        <v>4790</v>
      </c>
      <c r="N333" s="89">
        <v>128102000</v>
      </c>
      <c r="O333" s="113" t="s">
        <v>313</v>
      </c>
      <c r="P333" s="256">
        <v>64284</v>
      </c>
      <c r="Q333" s="258">
        <v>63.5</v>
      </c>
      <c r="R333" s="258">
        <v>63.6</v>
      </c>
      <c r="S333" s="258">
        <v>63.7</v>
      </c>
      <c r="T333" s="258">
        <v>63.8</v>
      </c>
      <c r="U333" s="258">
        <v>63.9</v>
      </c>
      <c r="V333" s="258">
        <v>64.099999999999994</v>
      </c>
      <c r="W333" s="258">
        <v>64.3</v>
      </c>
      <c r="X333" s="258">
        <v>64.599999999999994</v>
      </c>
      <c r="Y333" s="258">
        <v>64.7</v>
      </c>
      <c r="Z333" s="258">
        <v>64.900000000000006</v>
      </c>
    </row>
    <row r="334" spans="1:26" x14ac:dyDescent="0.2">
      <c r="A334" t="s">
        <v>701</v>
      </c>
      <c r="C334" s="139" t="s">
        <v>432</v>
      </c>
      <c r="D334" s="95">
        <f t="shared" si="16"/>
        <v>2.2831050228310501E-3</v>
      </c>
      <c r="E334" t="s">
        <v>578</v>
      </c>
      <c r="F334" s="95">
        <f t="shared" si="17"/>
        <v>2.0270270270270271E-2</v>
      </c>
      <c r="G334" s="136">
        <f t="shared" si="15"/>
        <v>1713.101689512273</v>
      </c>
      <c r="H334" s="187">
        <v>21900</v>
      </c>
      <c r="I334" s="89">
        <v>21959</v>
      </c>
      <c r="J334" s="89">
        <v>2330</v>
      </c>
      <c r="K334" s="89">
        <v>2240</v>
      </c>
      <c r="L334" s="89">
        <v>2160</v>
      </c>
      <c r="M334" s="89">
        <v>2150</v>
      </c>
      <c r="N334" s="89">
        <v>37618000</v>
      </c>
      <c r="O334" s="113" t="s">
        <v>432</v>
      </c>
      <c r="P334" s="256">
        <v>21900</v>
      </c>
      <c r="Q334" s="258">
        <v>22.1</v>
      </c>
      <c r="R334" s="258">
        <v>22.2</v>
      </c>
      <c r="S334" s="258">
        <v>22.2</v>
      </c>
      <c r="T334" s="258">
        <v>22.3</v>
      </c>
      <c r="U334" s="258">
        <v>22.3</v>
      </c>
      <c r="V334" s="258">
        <v>22.3</v>
      </c>
      <c r="W334" s="258">
        <v>22.4</v>
      </c>
      <c r="X334" s="258">
        <v>22.4</v>
      </c>
      <c r="Y334" s="258">
        <v>22.4</v>
      </c>
      <c r="Z334" s="258">
        <v>22.4</v>
      </c>
    </row>
    <row r="335" spans="1:26" x14ac:dyDescent="0.2">
      <c r="A335" t="s">
        <v>690</v>
      </c>
      <c r="C335" s="139" t="s">
        <v>489</v>
      </c>
      <c r="D335" s="95">
        <f t="shared" si="16"/>
        <v>5.9928443649373882E-3</v>
      </c>
      <c r="E335" t="s">
        <v>173</v>
      </c>
      <c r="F335" s="95">
        <f t="shared" si="17"/>
        <v>1.7027863777089782E-2</v>
      </c>
      <c r="G335" s="136">
        <f t="shared" si="15"/>
        <v>2546.7411121239743</v>
      </c>
      <c r="H335" s="187">
        <v>44720</v>
      </c>
      <c r="I335" s="89">
        <v>43880</v>
      </c>
      <c r="J335" s="89">
        <v>3355</v>
      </c>
      <c r="K335" s="89">
        <v>3275</v>
      </c>
      <c r="L335" s="89">
        <v>3155</v>
      </c>
      <c r="M335" s="89">
        <v>3135</v>
      </c>
      <c r="N335" s="89">
        <v>111751000</v>
      </c>
      <c r="O335" s="113" t="s">
        <v>489</v>
      </c>
      <c r="P335" s="256">
        <v>44720</v>
      </c>
      <c r="Q335" s="258">
        <v>45</v>
      </c>
      <c r="R335" s="258">
        <v>45.4</v>
      </c>
      <c r="S335" s="258">
        <v>45.7</v>
      </c>
      <c r="T335" s="258">
        <v>46</v>
      </c>
      <c r="U335" s="258">
        <v>46.3</v>
      </c>
      <c r="V335" s="258">
        <v>46.5</v>
      </c>
      <c r="W335" s="258">
        <v>46.7</v>
      </c>
      <c r="X335" s="258">
        <v>47</v>
      </c>
      <c r="Y335" s="258">
        <v>47.2</v>
      </c>
      <c r="Z335" s="258">
        <v>47.4</v>
      </c>
    </row>
    <row r="336" spans="1:26" x14ac:dyDescent="0.2">
      <c r="A336" t="s">
        <v>691</v>
      </c>
      <c r="C336" s="139" t="s">
        <v>357</v>
      </c>
      <c r="D336" s="95">
        <f t="shared" si="16"/>
        <v>-7.4551801668540319E-4</v>
      </c>
      <c r="E336" t="s">
        <v>173</v>
      </c>
      <c r="F336" s="95">
        <f t="shared" si="17"/>
        <v>2.3785166240409206E-2</v>
      </c>
      <c r="G336" s="136">
        <f t="shared" si="15"/>
        <v>1890.9431382456976</v>
      </c>
      <c r="H336" s="187">
        <v>67604</v>
      </c>
      <c r="I336" s="89">
        <v>67286</v>
      </c>
      <c r="J336" s="89">
        <v>5165</v>
      </c>
      <c r="K336" s="89">
        <v>4915</v>
      </c>
      <c r="L336" s="89">
        <v>4770</v>
      </c>
      <c r="M336" s="89">
        <v>4700</v>
      </c>
      <c r="N336" s="89">
        <v>127234000</v>
      </c>
      <c r="O336" s="113" t="s">
        <v>357</v>
      </c>
      <c r="P336" s="256">
        <v>67604</v>
      </c>
      <c r="Q336" s="258">
        <v>67.3</v>
      </c>
      <c r="R336" s="258">
        <v>67.5</v>
      </c>
      <c r="S336" s="258">
        <v>67.400000000000006</v>
      </c>
      <c r="T336" s="258">
        <v>67.400000000000006</v>
      </c>
      <c r="U336" s="258">
        <v>67.3</v>
      </c>
      <c r="V336" s="258">
        <v>67.2</v>
      </c>
      <c r="W336" s="258">
        <v>67.099999999999994</v>
      </c>
      <c r="X336" s="258">
        <v>67.099999999999994</v>
      </c>
      <c r="Y336" s="258">
        <v>67.099999999999994</v>
      </c>
      <c r="Z336" s="258">
        <v>67.099999999999994</v>
      </c>
    </row>
    <row r="337" spans="1:26" x14ac:dyDescent="0.2">
      <c r="A337" t="s">
        <v>699</v>
      </c>
      <c r="C337" s="139" t="s">
        <v>525</v>
      </c>
      <c r="D337" s="95">
        <f t="shared" si="16"/>
        <v>-1.8045395602981501E-3</v>
      </c>
      <c r="E337" t="s">
        <v>544</v>
      </c>
      <c r="F337" s="95">
        <f t="shared" si="17"/>
        <v>1.5554349792005788E-2</v>
      </c>
      <c r="G337" s="136">
        <f t="shared" si="15"/>
        <v>2553.7904765713256</v>
      </c>
      <c r="H337" s="187">
        <v>101023</v>
      </c>
      <c r="I337" s="89">
        <v>100027</v>
      </c>
      <c r="J337" s="89">
        <v>7180</v>
      </c>
      <c r="K337" s="89">
        <v>6965</v>
      </c>
      <c r="L337" s="89">
        <v>6750</v>
      </c>
      <c r="M337" s="89">
        <v>6750</v>
      </c>
      <c r="N337" s="89">
        <v>255448000</v>
      </c>
      <c r="O337" s="113" t="s">
        <v>525</v>
      </c>
      <c r="P337" s="256">
        <v>101023</v>
      </c>
      <c r="Q337" s="258">
        <v>100.6</v>
      </c>
      <c r="R337" s="258">
        <v>100.8</v>
      </c>
      <c r="S337" s="258">
        <v>100.9</v>
      </c>
      <c r="T337" s="258">
        <v>100.8</v>
      </c>
      <c r="U337" s="258">
        <v>100.6</v>
      </c>
      <c r="V337" s="258">
        <v>100.4</v>
      </c>
      <c r="W337" s="258">
        <v>100.1</v>
      </c>
      <c r="X337" s="258">
        <v>99.9</v>
      </c>
      <c r="Y337" s="258">
        <v>99.5</v>
      </c>
      <c r="Z337" s="258">
        <v>99.2</v>
      </c>
    </row>
    <row r="338" spans="1:26" x14ac:dyDescent="0.2">
      <c r="A338" t="s">
        <v>699</v>
      </c>
      <c r="C338" s="139" t="s">
        <v>526</v>
      </c>
      <c r="D338" s="95">
        <f t="shared" si="16"/>
        <v>9.961896892071798E-4</v>
      </c>
      <c r="E338" t="s">
        <v>173</v>
      </c>
      <c r="F338" s="95">
        <f t="shared" si="17"/>
        <v>2.3302531137002813E-2</v>
      </c>
      <c r="G338" s="136">
        <f t="shared" si="15"/>
        <v>1354.1749109616146</v>
      </c>
      <c r="H338" s="187">
        <v>43566</v>
      </c>
      <c r="I338" s="89">
        <v>42959</v>
      </c>
      <c r="J338" s="89">
        <v>3260</v>
      </c>
      <c r="K338" s="89">
        <v>3160</v>
      </c>
      <c r="L338" s="89">
        <v>3055</v>
      </c>
      <c r="M338" s="89">
        <v>2970</v>
      </c>
      <c r="N338" s="89">
        <v>58174000</v>
      </c>
      <c r="O338" s="113" t="s">
        <v>526</v>
      </c>
      <c r="P338" s="256">
        <v>43566</v>
      </c>
      <c r="Q338" s="258">
        <v>43.5</v>
      </c>
      <c r="R338" s="258">
        <v>43.6</v>
      </c>
      <c r="S338" s="258">
        <v>43.7</v>
      </c>
      <c r="T338" s="258">
        <v>43.7</v>
      </c>
      <c r="U338" s="258">
        <v>43.7</v>
      </c>
      <c r="V338" s="258">
        <v>43.7</v>
      </c>
      <c r="W338" s="258">
        <v>43.7</v>
      </c>
      <c r="X338" s="258">
        <v>43.8</v>
      </c>
      <c r="Y338" s="258">
        <v>43.9</v>
      </c>
      <c r="Z338" s="258">
        <v>44</v>
      </c>
    </row>
    <row r="339" spans="1:26" x14ac:dyDescent="0.2">
      <c r="A339" t="s">
        <v>697</v>
      </c>
      <c r="C339" s="139" t="s">
        <v>314</v>
      </c>
      <c r="D339" s="95">
        <f t="shared" si="16"/>
        <v>9.5834813048551581E-3</v>
      </c>
      <c r="E339" t="s">
        <v>578</v>
      </c>
      <c r="F339" s="95">
        <f t="shared" si="17"/>
        <v>1.9075568598679385E-2</v>
      </c>
      <c r="G339" s="136">
        <f t="shared" si="15"/>
        <v>327.30045754956785</v>
      </c>
      <c r="H339" s="187">
        <v>19711</v>
      </c>
      <c r="I339" s="89">
        <v>19670</v>
      </c>
      <c r="J339" s="89">
        <v>1775</v>
      </c>
      <c r="K339" s="89">
        <v>1725</v>
      </c>
      <c r="L339" s="89">
        <v>1670</v>
      </c>
      <c r="M339" s="89">
        <v>1645</v>
      </c>
      <c r="N339" s="89">
        <v>6438000</v>
      </c>
      <c r="O339" s="113" t="s">
        <v>314</v>
      </c>
      <c r="P339" s="256">
        <v>19711</v>
      </c>
      <c r="Q339" s="258">
        <v>19.8</v>
      </c>
      <c r="R339" s="258">
        <v>20</v>
      </c>
      <c r="S339" s="258">
        <v>20.2</v>
      </c>
      <c r="T339" s="258">
        <v>20.3</v>
      </c>
      <c r="U339" s="258">
        <v>20.6</v>
      </c>
      <c r="V339" s="258">
        <v>20.8</v>
      </c>
      <c r="W339" s="258">
        <v>21</v>
      </c>
      <c r="X339" s="258">
        <v>21.2</v>
      </c>
      <c r="Y339" s="258">
        <v>21.4</v>
      </c>
      <c r="Z339" s="258">
        <v>21.6</v>
      </c>
    </row>
    <row r="340" spans="1:26" x14ac:dyDescent="0.2">
      <c r="A340" t="s">
        <v>694</v>
      </c>
      <c r="C340" s="139" t="s">
        <v>410</v>
      </c>
      <c r="D340" s="95">
        <f t="shared" si="16"/>
        <v>2.8281202298021152E-3</v>
      </c>
      <c r="E340" t="s">
        <v>544</v>
      </c>
      <c r="F340" s="95">
        <f t="shared" si="17"/>
        <v>1.5776699029126214E-2</v>
      </c>
      <c r="G340" s="136">
        <f t="shared" si="15"/>
        <v>4206.8072407871396</v>
      </c>
      <c r="H340" s="187">
        <v>72062</v>
      </c>
      <c r="I340" s="89">
        <v>71042</v>
      </c>
      <c r="J340" s="89">
        <v>4290</v>
      </c>
      <c r="K340" s="89">
        <v>4165</v>
      </c>
      <c r="L340" s="89">
        <v>3995</v>
      </c>
      <c r="M340" s="89">
        <v>4030</v>
      </c>
      <c r="N340" s="89">
        <v>298860000</v>
      </c>
      <c r="O340" s="113" t="s">
        <v>410</v>
      </c>
      <c r="P340" s="256">
        <v>72062</v>
      </c>
      <c r="Q340" s="258">
        <v>72.2</v>
      </c>
      <c r="R340" s="258">
        <v>72.7</v>
      </c>
      <c r="S340" s="258">
        <v>73</v>
      </c>
      <c r="T340" s="258">
        <v>73.3</v>
      </c>
      <c r="U340" s="258">
        <v>73.5</v>
      </c>
      <c r="V340" s="258">
        <v>73.8</v>
      </c>
      <c r="W340" s="258">
        <v>73.900000000000006</v>
      </c>
      <c r="X340" s="258">
        <v>74</v>
      </c>
      <c r="Y340" s="258">
        <v>74</v>
      </c>
      <c r="Z340" s="258">
        <v>74.099999999999994</v>
      </c>
    </row>
    <row r="341" spans="1:26" x14ac:dyDescent="0.2">
      <c r="A341" t="s">
        <v>698</v>
      </c>
      <c r="C341" s="139" t="s">
        <v>194</v>
      </c>
      <c r="D341" s="95">
        <f t="shared" si="16"/>
        <v>9.8073665056158631E-3</v>
      </c>
      <c r="E341" t="s">
        <v>173</v>
      </c>
      <c r="F341" s="95">
        <f t="shared" si="17"/>
        <v>2.1406727828746176E-2</v>
      </c>
      <c r="G341" s="136">
        <f t="shared" si="15"/>
        <v>-964.26814268142687</v>
      </c>
      <c r="H341" s="187">
        <v>15937</v>
      </c>
      <c r="I341" s="89">
        <v>16260</v>
      </c>
      <c r="J341" s="89">
        <v>1275</v>
      </c>
      <c r="K341" s="89">
        <v>1240</v>
      </c>
      <c r="L341" s="89">
        <v>1220</v>
      </c>
      <c r="M341" s="89">
        <v>1170</v>
      </c>
      <c r="N341" s="89">
        <v>-15679000</v>
      </c>
      <c r="O341" s="113" t="s">
        <v>194</v>
      </c>
      <c r="P341" s="256">
        <v>15937</v>
      </c>
      <c r="Q341" s="258">
        <v>18.899999999999999</v>
      </c>
      <c r="R341" s="258">
        <v>20.6</v>
      </c>
      <c r="S341" s="258">
        <v>20</v>
      </c>
      <c r="T341" s="258">
        <v>19.5</v>
      </c>
      <c r="U341" s="258">
        <v>19.100000000000001</v>
      </c>
      <c r="V341" s="258">
        <v>18.8</v>
      </c>
      <c r="W341" s="258">
        <v>18.5</v>
      </c>
      <c r="X341" s="258">
        <v>18.100000000000001</v>
      </c>
      <c r="Y341" s="258">
        <v>17.8</v>
      </c>
      <c r="Z341" s="258">
        <v>17.5</v>
      </c>
    </row>
    <row r="342" spans="1:26" x14ac:dyDescent="0.2">
      <c r="A342" t="s">
        <v>693</v>
      </c>
      <c r="C342" s="139" t="s">
        <v>215</v>
      </c>
      <c r="D342" s="95">
        <f t="shared" si="16"/>
        <v>1.1029411764705882E-3</v>
      </c>
      <c r="E342" t="s">
        <v>173</v>
      </c>
      <c r="F342" s="95">
        <f t="shared" si="17"/>
        <v>2.9850746268656716E-2</v>
      </c>
      <c r="G342" s="136">
        <f t="shared" si="15"/>
        <v>-1228.9592760180994</v>
      </c>
      <c r="H342" s="187">
        <v>1088</v>
      </c>
      <c r="I342" s="89">
        <v>1105</v>
      </c>
      <c r="J342" s="89">
        <v>180</v>
      </c>
      <c r="K342" s="89">
        <v>170</v>
      </c>
      <c r="L342" s="89">
        <v>160</v>
      </c>
      <c r="M342" s="89">
        <v>160</v>
      </c>
      <c r="N342" s="89">
        <v>-1358000</v>
      </c>
      <c r="O342" s="113" t="s">
        <v>215</v>
      </c>
      <c r="P342" s="256">
        <v>1088</v>
      </c>
      <c r="Q342" s="258">
        <v>1.1000000000000001</v>
      </c>
      <c r="R342" s="258">
        <v>1.1000000000000001</v>
      </c>
      <c r="S342" s="258">
        <v>1.1000000000000001</v>
      </c>
      <c r="T342" s="258">
        <v>1.1000000000000001</v>
      </c>
      <c r="U342" s="258">
        <v>1.1000000000000001</v>
      </c>
      <c r="V342" s="258">
        <v>1.1000000000000001</v>
      </c>
      <c r="W342" s="258">
        <v>1.1000000000000001</v>
      </c>
      <c r="X342" s="258">
        <v>1.1000000000000001</v>
      </c>
      <c r="Y342" s="258">
        <v>1.1000000000000001</v>
      </c>
      <c r="Z342" s="258">
        <v>1.1000000000000001</v>
      </c>
    </row>
    <row r="343" spans="1:26" x14ac:dyDescent="0.2">
      <c r="A343" t="s">
        <v>701</v>
      </c>
      <c r="C343" s="139" t="s">
        <v>433</v>
      </c>
      <c r="D343" s="95">
        <f t="shared" si="16"/>
        <v>-2.4752809747967297E-3</v>
      </c>
      <c r="E343" t="s">
        <v>544</v>
      </c>
      <c r="F343" s="95">
        <f t="shared" si="17"/>
        <v>1.5242242787152967E-2</v>
      </c>
      <c r="G343" s="136">
        <f t="shared" si="15"/>
        <v>4987.7308884993936</v>
      </c>
      <c r="H343" s="187">
        <v>44399</v>
      </c>
      <c r="I343" s="89">
        <v>44502</v>
      </c>
      <c r="J343" s="89">
        <v>2370</v>
      </c>
      <c r="K343" s="89">
        <v>2350</v>
      </c>
      <c r="L343" s="89">
        <v>2235</v>
      </c>
      <c r="M343" s="89">
        <v>2230</v>
      </c>
      <c r="N343" s="89">
        <v>221964000</v>
      </c>
      <c r="O343" s="113" t="s">
        <v>433</v>
      </c>
      <c r="P343" s="256">
        <v>44399</v>
      </c>
      <c r="Q343" s="258">
        <v>44.1</v>
      </c>
      <c r="R343" s="258">
        <v>44.1</v>
      </c>
      <c r="S343" s="258">
        <v>44</v>
      </c>
      <c r="T343" s="258">
        <v>43.8</v>
      </c>
      <c r="U343" s="258">
        <v>43.7</v>
      </c>
      <c r="V343" s="258">
        <v>43.6</v>
      </c>
      <c r="W343" s="258">
        <v>43.5</v>
      </c>
      <c r="X343" s="258">
        <v>43.5</v>
      </c>
      <c r="Y343" s="258">
        <v>43.4</v>
      </c>
      <c r="Z343" s="258">
        <v>43.3</v>
      </c>
    </row>
    <row r="344" spans="1:26" x14ac:dyDescent="0.2">
      <c r="A344" t="s">
        <v>699</v>
      </c>
      <c r="C344" s="139" t="s">
        <v>527</v>
      </c>
      <c r="D344" s="95">
        <f t="shared" si="16"/>
        <v>-2.9204107830551988E-3</v>
      </c>
      <c r="E344" t="s">
        <v>578</v>
      </c>
      <c r="F344" s="95">
        <f t="shared" si="17"/>
        <v>2.5210084033613446E-2</v>
      </c>
      <c r="G344" s="136">
        <f t="shared" si="15"/>
        <v>-86.386607706885655</v>
      </c>
      <c r="H344" s="187">
        <v>12464</v>
      </c>
      <c r="I344" s="89">
        <v>12664</v>
      </c>
      <c r="J344" s="89">
        <v>950</v>
      </c>
      <c r="K344" s="89">
        <v>900</v>
      </c>
      <c r="L344" s="89">
        <v>860</v>
      </c>
      <c r="M344" s="89">
        <v>860</v>
      </c>
      <c r="N344" s="89">
        <v>-1094000</v>
      </c>
      <c r="O344" s="113" t="s">
        <v>527</v>
      </c>
      <c r="P344" s="256">
        <v>12464</v>
      </c>
      <c r="Q344" s="258">
        <v>12.7</v>
      </c>
      <c r="R344" s="258">
        <v>12.8</v>
      </c>
      <c r="S344" s="258">
        <v>12.9</v>
      </c>
      <c r="T344" s="258">
        <v>12.9</v>
      </c>
      <c r="U344" s="258">
        <v>12.8</v>
      </c>
      <c r="V344" s="258">
        <v>12.6</v>
      </c>
      <c r="W344" s="258">
        <v>12.5</v>
      </c>
      <c r="X344" s="258">
        <v>12.3</v>
      </c>
      <c r="Y344" s="258">
        <v>12.2</v>
      </c>
      <c r="Z344" s="258">
        <v>12.1</v>
      </c>
    </row>
    <row r="345" spans="1:26" x14ac:dyDescent="0.2">
      <c r="A345" t="s">
        <v>694</v>
      </c>
      <c r="C345" s="139" t="s">
        <v>411</v>
      </c>
      <c r="D345" s="95">
        <f t="shared" si="16"/>
        <v>1.8997590742130417E-3</v>
      </c>
      <c r="E345" t="s">
        <v>578</v>
      </c>
      <c r="F345" s="95">
        <f t="shared" si="17"/>
        <v>2.2711142654364799E-2</v>
      </c>
      <c r="G345" s="136">
        <f t="shared" si="15"/>
        <v>-622.83011106540516</v>
      </c>
      <c r="H345" s="187">
        <v>25319</v>
      </c>
      <c r="I345" s="89">
        <v>24310</v>
      </c>
      <c r="J345" s="89">
        <v>1840</v>
      </c>
      <c r="K345" s="89">
        <v>1775</v>
      </c>
      <c r="L345" s="89">
        <v>1750</v>
      </c>
      <c r="M345" s="89">
        <v>1680</v>
      </c>
      <c r="N345" s="89">
        <v>-15141000</v>
      </c>
      <c r="O345" s="113" t="s">
        <v>411</v>
      </c>
      <c r="P345" s="256">
        <v>25319</v>
      </c>
      <c r="Q345" s="258">
        <v>25.6</v>
      </c>
      <c r="R345" s="258">
        <v>25.7</v>
      </c>
      <c r="S345" s="258">
        <v>25.8</v>
      </c>
      <c r="T345" s="258">
        <v>25.9</v>
      </c>
      <c r="U345" s="258">
        <v>26</v>
      </c>
      <c r="V345" s="258">
        <v>26</v>
      </c>
      <c r="W345" s="258">
        <v>25.9</v>
      </c>
      <c r="X345" s="258">
        <v>25.8</v>
      </c>
      <c r="Y345" s="258">
        <v>25.8</v>
      </c>
      <c r="Z345" s="258">
        <v>25.8</v>
      </c>
    </row>
    <row r="346" spans="1:26" x14ac:dyDescent="0.2">
      <c r="A346" t="s">
        <v>692</v>
      </c>
      <c r="C346" s="139" t="s">
        <v>285</v>
      </c>
      <c r="D346" s="95">
        <f t="shared" si="16"/>
        <v>8.2644628099173552E-4</v>
      </c>
      <c r="E346" t="s">
        <v>578</v>
      </c>
      <c r="F346" s="95">
        <f t="shared" si="17"/>
        <v>2.4743512371756187E-2</v>
      </c>
      <c r="G346" s="136">
        <f t="shared" si="15"/>
        <v>1866.1410683418358</v>
      </c>
      <c r="H346" s="187">
        <v>24200</v>
      </c>
      <c r="I346" s="89">
        <v>23719</v>
      </c>
      <c r="J346" s="89">
        <v>2175</v>
      </c>
      <c r="K346" s="89">
        <v>2120</v>
      </c>
      <c r="L346" s="89">
        <v>2020</v>
      </c>
      <c r="M346" s="89">
        <v>1970</v>
      </c>
      <c r="N346" s="89">
        <v>44263000</v>
      </c>
      <c r="O346" s="113" t="s">
        <v>285</v>
      </c>
      <c r="P346" s="256">
        <v>24200</v>
      </c>
      <c r="Q346" s="258">
        <v>24</v>
      </c>
      <c r="R346" s="258">
        <v>24.1</v>
      </c>
      <c r="S346" s="258">
        <v>24.1</v>
      </c>
      <c r="T346" s="258">
        <v>24.2</v>
      </c>
      <c r="U346" s="258">
        <v>24.2</v>
      </c>
      <c r="V346" s="258">
        <v>24.2</v>
      </c>
      <c r="W346" s="258">
        <v>24.3</v>
      </c>
      <c r="X346" s="258">
        <v>24.3</v>
      </c>
      <c r="Y346" s="258">
        <v>24.3</v>
      </c>
      <c r="Z346" s="258">
        <v>24.4</v>
      </c>
    </row>
    <row r="347" spans="1:26" x14ac:dyDescent="0.2">
      <c r="A347" t="s">
        <v>690</v>
      </c>
      <c r="C347" s="139" t="s">
        <v>490</v>
      </c>
      <c r="D347" s="95">
        <f t="shared" si="16"/>
        <v>3.0888473139628119E-3</v>
      </c>
      <c r="E347" t="s">
        <v>173</v>
      </c>
      <c r="F347" s="95">
        <f t="shared" si="17"/>
        <v>2.54841997961264E-2</v>
      </c>
      <c r="G347" s="136">
        <f t="shared" si="15"/>
        <v>1684.3227732754276</v>
      </c>
      <c r="H347" s="187">
        <v>26191</v>
      </c>
      <c r="I347" s="89">
        <v>25789</v>
      </c>
      <c r="J347" s="89">
        <v>2600</v>
      </c>
      <c r="K347" s="89">
        <v>2485</v>
      </c>
      <c r="L347" s="89">
        <v>2375</v>
      </c>
      <c r="M347" s="89">
        <v>2350</v>
      </c>
      <c r="N347" s="89">
        <v>43437000</v>
      </c>
      <c r="O347" s="113" t="s">
        <v>490</v>
      </c>
      <c r="P347" s="256">
        <v>26191</v>
      </c>
      <c r="Q347" s="258">
        <v>26.2</v>
      </c>
      <c r="R347" s="258">
        <v>26.3</v>
      </c>
      <c r="S347" s="258">
        <v>26.5</v>
      </c>
      <c r="T347" s="258">
        <v>26.6</v>
      </c>
      <c r="U347" s="258">
        <v>26.6</v>
      </c>
      <c r="V347" s="258">
        <v>26.7</v>
      </c>
      <c r="W347" s="258">
        <v>26.8</v>
      </c>
      <c r="X347" s="258">
        <v>26.9</v>
      </c>
      <c r="Y347" s="258">
        <v>27</v>
      </c>
      <c r="Z347" s="258">
        <v>27</v>
      </c>
    </row>
    <row r="348" spans="1:26" x14ac:dyDescent="0.2">
      <c r="A348" t="s">
        <v>690</v>
      </c>
      <c r="C348" s="139" t="s">
        <v>491</v>
      </c>
      <c r="D348" s="95">
        <f t="shared" si="16"/>
        <v>2.3789797609184522E-3</v>
      </c>
      <c r="E348" t="s">
        <v>578</v>
      </c>
      <c r="F348" s="95">
        <f t="shared" si="17"/>
        <v>2.4855012427506214E-2</v>
      </c>
      <c r="G348" s="136">
        <f t="shared" si="15"/>
        <v>-332.96976307338059</v>
      </c>
      <c r="H348" s="187">
        <v>16898</v>
      </c>
      <c r="I348" s="89">
        <v>16503</v>
      </c>
      <c r="J348" s="89">
        <v>1585</v>
      </c>
      <c r="K348" s="89">
        <v>1545</v>
      </c>
      <c r="L348" s="89">
        <v>1470</v>
      </c>
      <c r="M348" s="89">
        <v>1435</v>
      </c>
      <c r="N348" s="89">
        <v>-5495000</v>
      </c>
      <c r="O348" s="113" t="s">
        <v>491</v>
      </c>
      <c r="P348" s="256">
        <v>16898</v>
      </c>
      <c r="Q348" s="258">
        <v>17</v>
      </c>
      <c r="R348" s="258">
        <v>17.100000000000001</v>
      </c>
      <c r="S348" s="258">
        <v>17.2</v>
      </c>
      <c r="T348" s="258">
        <v>17.3</v>
      </c>
      <c r="U348" s="258">
        <v>17.3</v>
      </c>
      <c r="V348" s="258">
        <v>17.399999999999999</v>
      </c>
      <c r="W348" s="258">
        <v>17.3</v>
      </c>
      <c r="X348" s="258">
        <v>17.3</v>
      </c>
      <c r="Y348" s="258">
        <v>17.2</v>
      </c>
      <c r="Z348" s="258">
        <v>17.3</v>
      </c>
    </row>
    <row r="349" spans="1:26" x14ac:dyDescent="0.2">
      <c r="A349" t="s">
        <v>690</v>
      </c>
      <c r="C349" s="139" t="s">
        <v>492</v>
      </c>
      <c r="D349" s="95">
        <f t="shared" si="16"/>
        <v>3.5493599342008141E-3</v>
      </c>
      <c r="E349" t="s">
        <v>173</v>
      </c>
      <c r="F349" s="95">
        <f t="shared" si="17"/>
        <v>1.6412323639504751E-2</v>
      </c>
      <c r="G349" s="136">
        <f t="shared" si="15"/>
        <v>2816.6817457240099</v>
      </c>
      <c r="H349" s="187">
        <v>47417</v>
      </c>
      <c r="I349" s="89">
        <v>46422</v>
      </c>
      <c r="J349" s="89">
        <v>4490</v>
      </c>
      <c r="K349" s="89">
        <v>4395</v>
      </c>
      <c r="L349" s="89">
        <v>4275</v>
      </c>
      <c r="M349" s="89">
        <v>4205</v>
      </c>
      <c r="N349" s="89">
        <v>130756000</v>
      </c>
      <c r="O349" s="113" t="s">
        <v>492</v>
      </c>
      <c r="P349" s="256">
        <v>47417</v>
      </c>
      <c r="Q349" s="258">
        <v>47.2</v>
      </c>
      <c r="R349" s="258">
        <v>47.6</v>
      </c>
      <c r="S349" s="258">
        <v>47.9</v>
      </c>
      <c r="T349" s="258">
        <v>48.1</v>
      </c>
      <c r="U349" s="258">
        <v>48.3</v>
      </c>
      <c r="V349" s="258">
        <v>48.5</v>
      </c>
      <c r="W349" s="258">
        <v>48.7</v>
      </c>
      <c r="X349" s="258">
        <v>48.9</v>
      </c>
      <c r="Y349" s="258">
        <v>49</v>
      </c>
      <c r="Z349" s="258">
        <v>49.1</v>
      </c>
    </row>
    <row r="350" spans="1:26" x14ac:dyDescent="0.2">
      <c r="A350" t="s">
        <v>694</v>
      </c>
      <c r="C350" s="139" t="s">
        <v>412</v>
      </c>
      <c r="D350" s="95">
        <f t="shared" si="16"/>
        <v>2.5022610792885141E-3</v>
      </c>
      <c r="E350" t="s">
        <v>578</v>
      </c>
      <c r="F350" s="95">
        <f t="shared" si="17"/>
        <v>2.7090694935217905E-2</v>
      </c>
      <c r="G350" s="136">
        <f t="shared" si="15"/>
        <v>2036.9857594936709</v>
      </c>
      <c r="H350" s="187">
        <v>26536</v>
      </c>
      <c r="I350" s="89">
        <v>25280</v>
      </c>
      <c r="J350" s="89">
        <v>2245</v>
      </c>
      <c r="K350" s="89">
        <v>2160</v>
      </c>
      <c r="L350" s="89">
        <v>2070</v>
      </c>
      <c r="M350" s="89">
        <v>2015</v>
      </c>
      <c r="N350" s="89">
        <v>51495000</v>
      </c>
      <c r="O350" s="113" t="s">
        <v>412</v>
      </c>
      <c r="P350" s="256">
        <v>26536</v>
      </c>
      <c r="Q350" s="258">
        <v>25.8</v>
      </c>
      <c r="R350" s="258">
        <v>25.9</v>
      </c>
      <c r="S350" s="258">
        <v>26.1</v>
      </c>
      <c r="T350" s="258">
        <v>26.3</v>
      </c>
      <c r="U350" s="258">
        <v>26.6</v>
      </c>
      <c r="V350" s="258">
        <v>26.9</v>
      </c>
      <c r="W350" s="258">
        <v>27.2</v>
      </c>
      <c r="X350" s="258">
        <v>27.2</v>
      </c>
      <c r="Y350" s="258">
        <v>27.2</v>
      </c>
      <c r="Z350" s="258">
        <v>27.2</v>
      </c>
    </row>
    <row r="351" spans="1:26" x14ac:dyDescent="0.2">
      <c r="A351" t="s">
        <v>692</v>
      </c>
      <c r="C351" s="139" t="s">
        <v>286</v>
      </c>
      <c r="D351" s="95">
        <f t="shared" si="16"/>
        <v>9.0994103436631436E-3</v>
      </c>
      <c r="E351" t="s">
        <v>173</v>
      </c>
      <c r="F351" s="95">
        <f t="shared" si="17"/>
        <v>2.6604068857589983E-2</v>
      </c>
      <c r="G351" s="136">
        <f t="shared" si="15"/>
        <v>1082.431374665983</v>
      </c>
      <c r="H351" s="187">
        <v>38497</v>
      </c>
      <c r="I351" s="89">
        <v>37049</v>
      </c>
      <c r="J351" s="89">
        <v>2530</v>
      </c>
      <c r="K351" s="89">
        <v>2455</v>
      </c>
      <c r="L351" s="89">
        <v>2325</v>
      </c>
      <c r="M351" s="89">
        <v>2275</v>
      </c>
      <c r="N351" s="89">
        <v>40103000</v>
      </c>
      <c r="O351" s="113" t="s">
        <v>286</v>
      </c>
      <c r="P351" s="256">
        <v>38497</v>
      </c>
      <c r="Q351" s="258">
        <v>38.799999999999997</v>
      </c>
      <c r="R351" s="258">
        <v>39.299999999999997</v>
      </c>
      <c r="S351" s="258">
        <v>39.700000000000003</v>
      </c>
      <c r="T351" s="258">
        <v>40</v>
      </c>
      <c r="U351" s="258">
        <v>40.299999999999997</v>
      </c>
      <c r="V351" s="258">
        <v>40.6</v>
      </c>
      <c r="W351" s="258">
        <v>41</v>
      </c>
      <c r="X351" s="258">
        <v>41.4</v>
      </c>
      <c r="Y351" s="258">
        <v>41.7</v>
      </c>
      <c r="Z351" s="258">
        <v>42</v>
      </c>
    </row>
    <row r="352" spans="1:26" x14ac:dyDescent="0.2">
      <c r="A352" t="s">
        <v>694</v>
      </c>
      <c r="C352" s="139" t="s">
        <v>413</v>
      </c>
      <c r="D352" s="95">
        <f t="shared" si="16"/>
        <v>-4.034394073164178E-3</v>
      </c>
      <c r="E352" t="s">
        <v>578</v>
      </c>
      <c r="F352" s="95">
        <f t="shared" si="17"/>
        <v>1.9101703665462055E-2</v>
      </c>
      <c r="G352" s="136">
        <f t="shared" si="15"/>
        <v>-1618.8960484434438</v>
      </c>
      <c r="H352" s="187">
        <v>26051</v>
      </c>
      <c r="I352" s="89">
        <v>25762</v>
      </c>
      <c r="J352" s="89">
        <v>2540</v>
      </c>
      <c r="K352" s="89">
        <v>2440</v>
      </c>
      <c r="L352" s="89">
        <v>2350</v>
      </c>
      <c r="M352" s="89">
        <v>2355</v>
      </c>
      <c r="N352" s="89">
        <v>-41706000</v>
      </c>
      <c r="O352" s="113" t="s">
        <v>413</v>
      </c>
      <c r="P352" s="256">
        <v>26051</v>
      </c>
      <c r="Q352" s="258">
        <v>25.8</v>
      </c>
      <c r="R352" s="258">
        <v>25.8</v>
      </c>
      <c r="S352" s="258">
        <v>25.6</v>
      </c>
      <c r="T352" s="258">
        <v>25.4</v>
      </c>
      <c r="U352" s="258">
        <v>25.3</v>
      </c>
      <c r="V352" s="258">
        <v>25.2</v>
      </c>
      <c r="W352" s="258">
        <v>25.1</v>
      </c>
      <c r="X352" s="258">
        <v>25.1</v>
      </c>
      <c r="Y352" s="258">
        <v>25.1</v>
      </c>
      <c r="Z352" s="258">
        <v>25</v>
      </c>
    </row>
    <row r="353" spans="1:26" x14ac:dyDescent="0.2">
      <c r="A353" t="s">
        <v>691</v>
      </c>
      <c r="C353" s="139" t="s">
        <v>358</v>
      </c>
      <c r="D353" s="95">
        <f t="shared" si="16"/>
        <v>-5.2628535076051127E-4</v>
      </c>
      <c r="E353" t="s">
        <v>578</v>
      </c>
      <c r="F353" s="95">
        <f t="shared" si="17"/>
        <v>2.7068832173240527E-2</v>
      </c>
      <c r="G353" s="136">
        <f t="shared" si="15"/>
        <v>27.21928277483833</v>
      </c>
      <c r="H353" s="187">
        <v>17291</v>
      </c>
      <c r="I353" s="89">
        <v>17010</v>
      </c>
      <c r="J353" s="89">
        <v>1710</v>
      </c>
      <c r="K353" s="89">
        <v>1660</v>
      </c>
      <c r="L353" s="89">
        <v>1560</v>
      </c>
      <c r="M353" s="89">
        <v>1535</v>
      </c>
      <c r="N353" s="89">
        <v>463000</v>
      </c>
      <c r="O353" s="113" t="s">
        <v>358</v>
      </c>
      <c r="P353" s="256">
        <v>17291</v>
      </c>
      <c r="Q353" s="258">
        <v>17.399999999999999</v>
      </c>
      <c r="R353" s="258">
        <v>17.5</v>
      </c>
      <c r="S353" s="258">
        <v>17.600000000000001</v>
      </c>
      <c r="T353" s="258">
        <v>17.600000000000001</v>
      </c>
      <c r="U353" s="258">
        <v>17.600000000000001</v>
      </c>
      <c r="V353" s="258">
        <v>17.5</v>
      </c>
      <c r="W353" s="258">
        <v>17.399999999999999</v>
      </c>
      <c r="X353" s="258">
        <v>17.3</v>
      </c>
      <c r="Y353" s="258">
        <v>17.3</v>
      </c>
      <c r="Z353" s="258">
        <v>17.2</v>
      </c>
    </row>
    <row r="354" spans="1:26" x14ac:dyDescent="0.2">
      <c r="A354" t="s">
        <v>699</v>
      </c>
      <c r="C354" s="139" t="s">
        <v>528</v>
      </c>
      <c r="D354" s="95">
        <f t="shared" si="16"/>
        <v>2.2672260771340971E-3</v>
      </c>
      <c r="E354" t="s">
        <v>544</v>
      </c>
      <c r="F354" s="95">
        <f t="shared" si="17"/>
        <v>1.2811867835468645E-2</v>
      </c>
      <c r="G354" s="136">
        <f t="shared" si="15"/>
        <v>1428.1868989890688</v>
      </c>
      <c r="H354" s="187">
        <v>49576</v>
      </c>
      <c r="I354" s="89">
        <v>48668</v>
      </c>
      <c r="J354" s="89">
        <v>3815</v>
      </c>
      <c r="K354" s="89">
        <v>3735</v>
      </c>
      <c r="L354" s="89">
        <v>3655</v>
      </c>
      <c r="M354" s="89">
        <v>3625</v>
      </c>
      <c r="N354" s="89">
        <v>69507000</v>
      </c>
      <c r="O354" s="113" t="s">
        <v>528</v>
      </c>
      <c r="P354" s="256">
        <v>49576</v>
      </c>
      <c r="Q354" s="258">
        <v>49.2</v>
      </c>
      <c r="R354" s="258">
        <v>49.4</v>
      </c>
      <c r="S354" s="258">
        <v>49.6</v>
      </c>
      <c r="T354" s="258">
        <v>49.8</v>
      </c>
      <c r="U354" s="258">
        <v>50</v>
      </c>
      <c r="V354" s="258">
        <v>50.2</v>
      </c>
      <c r="W354" s="258">
        <v>50.4</v>
      </c>
      <c r="X354" s="258">
        <v>50.5</v>
      </c>
      <c r="Y354" s="258">
        <v>50.7</v>
      </c>
      <c r="Z354" s="258">
        <v>50.7</v>
      </c>
    </row>
    <row r="355" spans="1:26" x14ac:dyDescent="0.2">
      <c r="A355" t="s">
        <v>691</v>
      </c>
      <c r="C355" s="139" t="s">
        <v>359</v>
      </c>
      <c r="D355" s="95">
        <f t="shared" si="16"/>
        <v>1.1057717977468098E-2</v>
      </c>
      <c r="E355" t="s">
        <v>173</v>
      </c>
      <c r="F355" s="95">
        <f t="shared" si="17"/>
        <v>2.4294156270518712E-2</v>
      </c>
      <c r="G355" s="136">
        <f t="shared" si="15"/>
        <v>1749.4173787592943</v>
      </c>
      <c r="H355" s="187">
        <v>18729</v>
      </c>
      <c r="I355" s="89">
        <v>18022</v>
      </c>
      <c r="J355" s="89">
        <v>2010</v>
      </c>
      <c r="K355" s="89">
        <v>1915</v>
      </c>
      <c r="L355" s="89">
        <v>1865</v>
      </c>
      <c r="M355" s="89">
        <v>1825</v>
      </c>
      <c r="N355" s="89">
        <v>31528000</v>
      </c>
      <c r="O355" s="113" t="s">
        <v>359</v>
      </c>
      <c r="P355" s="256">
        <v>18729</v>
      </c>
      <c r="Q355" s="258">
        <v>18.8</v>
      </c>
      <c r="R355" s="258">
        <v>19.100000000000001</v>
      </c>
      <c r="S355" s="258">
        <v>19.399999999999999</v>
      </c>
      <c r="T355" s="258">
        <v>19.600000000000001</v>
      </c>
      <c r="U355" s="258">
        <v>19.899999999999999</v>
      </c>
      <c r="V355" s="258">
        <v>20.100000000000001</v>
      </c>
      <c r="W355" s="258">
        <v>20.399999999999999</v>
      </c>
      <c r="X355" s="258">
        <v>20.5</v>
      </c>
      <c r="Y355" s="258">
        <v>20.7</v>
      </c>
      <c r="Z355" s="258">
        <v>20.8</v>
      </c>
    </row>
    <row r="356" spans="1:26" x14ac:dyDescent="0.2">
      <c r="A356" t="s">
        <v>690</v>
      </c>
      <c r="C356" s="139" t="s">
        <v>493</v>
      </c>
      <c r="D356" s="95">
        <f t="shared" si="16"/>
        <v>2.0861272537624795E-4</v>
      </c>
      <c r="E356" t="s">
        <v>578</v>
      </c>
      <c r="F356" s="95">
        <f t="shared" si="17"/>
        <v>1.6385542168674699E-2</v>
      </c>
      <c r="G356" s="136">
        <f t="shared" si="15"/>
        <v>840.63126821329899</v>
      </c>
      <c r="H356" s="187">
        <v>26844</v>
      </c>
      <c r="I356" s="89">
        <v>26423</v>
      </c>
      <c r="J356" s="89">
        <v>2685</v>
      </c>
      <c r="K356" s="89">
        <v>2625</v>
      </c>
      <c r="L356" s="89">
        <v>2550</v>
      </c>
      <c r="M356" s="89">
        <v>2515</v>
      </c>
      <c r="N356" s="89">
        <v>22212000</v>
      </c>
      <c r="O356" s="113" t="s">
        <v>493</v>
      </c>
      <c r="P356" s="256">
        <v>26844</v>
      </c>
      <c r="Q356" s="258">
        <v>26.6</v>
      </c>
      <c r="R356" s="258">
        <v>26.7</v>
      </c>
      <c r="S356" s="258">
        <v>26.7</v>
      </c>
      <c r="T356" s="258">
        <v>26.8</v>
      </c>
      <c r="U356" s="258">
        <v>26.9</v>
      </c>
      <c r="V356" s="258">
        <v>26.9</v>
      </c>
      <c r="W356" s="258">
        <v>26.9</v>
      </c>
      <c r="X356" s="258">
        <v>26.9</v>
      </c>
      <c r="Y356" s="258">
        <v>26.9</v>
      </c>
      <c r="Z356" s="258">
        <v>26.9</v>
      </c>
    </row>
    <row r="357" spans="1:26" x14ac:dyDescent="0.2">
      <c r="A357" t="s">
        <v>692</v>
      </c>
      <c r="C357" s="139" t="s">
        <v>287</v>
      </c>
      <c r="D357" s="95">
        <f t="shared" si="16"/>
        <v>-8.5034013605442185E-5</v>
      </c>
      <c r="E357" t="s">
        <v>578</v>
      </c>
      <c r="F357" s="95">
        <f t="shared" si="17"/>
        <v>2.5742574257425741E-2</v>
      </c>
      <c r="G357" s="136">
        <f t="shared" si="15"/>
        <v>1943.7926330150069</v>
      </c>
      <c r="H357" s="187">
        <v>18816</v>
      </c>
      <c r="I357" s="89">
        <v>18325</v>
      </c>
      <c r="J357" s="89">
        <v>2005</v>
      </c>
      <c r="K357" s="89">
        <v>1930</v>
      </c>
      <c r="L357" s="89">
        <v>1830</v>
      </c>
      <c r="M357" s="89">
        <v>1810</v>
      </c>
      <c r="N357" s="89">
        <v>35620000</v>
      </c>
      <c r="O357" s="113" t="s">
        <v>287</v>
      </c>
      <c r="P357" s="256">
        <v>18816</v>
      </c>
      <c r="Q357" s="258">
        <v>18.7</v>
      </c>
      <c r="R357" s="258">
        <v>18.8</v>
      </c>
      <c r="S357" s="258">
        <v>18.8</v>
      </c>
      <c r="T357" s="258">
        <v>18.8</v>
      </c>
      <c r="U357" s="258">
        <v>18.8</v>
      </c>
      <c r="V357" s="258">
        <v>18.8</v>
      </c>
      <c r="W357" s="258">
        <v>18.8</v>
      </c>
      <c r="X357" s="258">
        <v>18.8</v>
      </c>
      <c r="Y357" s="258">
        <v>18.8</v>
      </c>
      <c r="Z357" s="258">
        <v>18.8</v>
      </c>
    </row>
    <row r="358" spans="1:26" x14ac:dyDescent="0.2">
      <c r="A358" t="s">
        <v>689</v>
      </c>
      <c r="C358" s="139" t="s">
        <v>171</v>
      </c>
      <c r="D358" s="95">
        <f t="shared" si="16"/>
        <v>-3.6043587594300082E-3</v>
      </c>
      <c r="E358" t="s">
        <v>173</v>
      </c>
      <c r="F358" s="95">
        <f t="shared" si="17"/>
        <v>2.8308563340410473E-2</v>
      </c>
      <c r="G358" s="136">
        <f t="shared" si="15"/>
        <v>-142.04604646317324</v>
      </c>
      <c r="H358" s="187">
        <v>19088</v>
      </c>
      <c r="I358" s="89">
        <v>19198</v>
      </c>
      <c r="J358" s="89">
        <v>1860</v>
      </c>
      <c r="K358" s="89">
        <v>1810</v>
      </c>
      <c r="L358" s="89">
        <v>1735</v>
      </c>
      <c r="M358" s="89">
        <v>1660</v>
      </c>
      <c r="N358" s="89">
        <v>-2727000</v>
      </c>
      <c r="O358" s="113" t="s">
        <v>171</v>
      </c>
      <c r="P358" s="256">
        <v>19088</v>
      </c>
      <c r="Q358" s="258">
        <v>19.100000000000001</v>
      </c>
      <c r="R358" s="258">
        <v>19.100000000000001</v>
      </c>
      <c r="S358" s="258">
        <v>19</v>
      </c>
      <c r="T358" s="258">
        <v>18.899999999999999</v>
      </c>
      <c r="U358" s="258">
        <v>18.899999999999999</v>
      </c>
      <c r="V358" s="258">
        <v>18.8</v>
      </c>
      <c r="W358" s="258">
        <v>18.7</v>
      </c>
      <c r="X358" s="258">
        <v>18.600000000000001</v>
      </c>
      <c r="Y358" s="258">
        <v>18.5</v>
      </c>
      <c r="Z358" s="258">
        <v>18.399999999999999</v>
      </c>
    </row>
    <row r="359" spans="1:26" x14ac:dyDescent="0.2">
      <c r="A359" t="s">
        <v>692</v>
      </c>
      <c r="C359" s="139" t="s">
        <v>288</v>
      </c>
      <c r="D359" s="95">
        <f t="shared" si="16"/>
        <v>-6.5732399065732399E-3</v>
      </c>
      <c r="E359" t="s">
        <v>173</v>
      </c>
      <c r="F359" s="95">
        <f t="shared" si="17"/>
        <v>1.3215859030837005E-2</v>
      </c>
      <c r="G359" s="136">
        <f t="shared" si="15"/>
        <v>804.04080031384854</v>
      </c>
      <c r="H359" s="187">
        <v>14985</v>
      </c>
      <c r="I359" s="89">
        <v>15294</v>
      </c>
      <c r="J359" s="89">
        <v>895</v>
      </c>
      <c r="K359" s="89">
        <v>840</v>
      </c>
      <c r="L359" s="89">
        <v>820</v>
      </c>
      <c r="M359" s="89">
        <v>850</v>
      </c>
      <c r="N359" s="89">
        <v>12297000</v>
      </c>
      <c r="O359" s="113" t="s">
        <v>288</v>
      </c>
      <c r="P359" s="256">
        <v>14985</v>
      </c>
      <c r="Q359" s="258">
        <v>15.1</v>
      </c>
      <c r="R359" s="258">
        <v>15.2</v>
      </c>
      <c r="S359" s="258">
        <v>15.2</v>
      </c>
      <c r="T359" s="258">
        <v>15</v>
      </c>
      <c r="U359" s="258">
        <v>14.8</v>
      </c>
      <c r="V359" s="258">
        <v>14.6</v>
      </c>
      <c r="W359" s="258">
        <v>14.4</v>
      </c>
      <c r="X359" s="258">
        <v>14.3</v>
      </c>
      <c r="Y359" s="258">
        <v>14.1</v>
      </c>
      <c r="Z359" s="258">
        <v>14</v>
      </c>
    </row>
    <row r="360" spans="1:26" x14ac:dyDescent="0.2">
      <c r="A360" t="s">
        <v>694</v>
      </c>
      <c r="C360" s="139" t="s">
        <v>414</v>
      </c>
      <c r="D360" s="95">
        <f t="shared" si="16"/>
        <v>6.9711083342799797E-3</v>
      </c>
      <c r="E360" t="s">
        <v>173</v>
      </c>
      <c r="F360" s="95">
        <f t="shared" si="17"/>
        <v>2.10667861945316E-2</v>
      </c>
      <c r="G360" s="136">
        <f t="shared" si="15"/>
        <v>2554.0988429103745</v>
      </c>
      <c r="H360" s="187">
        <v>105636</v>
      </c>
      <c r="I360" s="89">
        <v>101980</v>
      </c>
      <c r="J360" s="89">
        <v>11660</v>
      </c>
      <c r="K360" s="89">
        <v>11300</v>
      </c>
      <c r="L360" s="89">
        <v>10940</v>
      </c>
      <c r="M360" s="89">
        <v>10720</v>
      </c>
      <c r="N360" s="89">
        <v>260467000</v>
      </c>
      <c r="O360" s="113" t="s">
        <v>414</v>
      </c>
      <c r="P360" s="256">
        <v>105636</v>
      </c>
      <c r="Q360" s="258">
        <v>105.5</v>
      </c>
      <c r="R360" s="258">
        <v>106.5</v>
      </c>
      <c r="S360" s="258">
        <v>107.4</v>
      </c>
      <c r="T360" s="258">
        <v>108.1</v>
      </c>
      <c r="U360" s="258">
        <v>108.9</v>
      </c>
      <c r="V360" s="258">
        <v>109.8</v>
      </c>
      <c r="W360" s="258">
        <v>110.6</v>
      </c>
      <c r="X360" s="258">
        <v>111.4</v>
      </c>
      <c r="Y360" s="258">
        <v>112.2</v>
      </c>
      <c r="Z360" s="258">
        <v>113</v>
      </c>
    </row>
    <row r="361" spans="1:26" x14ac:dyDescent="0.2">
      <c r="A361" t="s">
        <v>693</v>
      </c>
      <c r="C361" s="139" t="s">
        <v>216</v>
      </c>
      <c r="D361" s="95">
        <f t="shared" si="16"/>
        <v>1.1284213814376635E-3</v>
      </c>
      <c r="E361" t="s">
        <v>173</v>
      </c>
      <c r="F361" s="95">
        <f t="shared" si="17"/>
        <v>1.6057585825027684E-2</v>
      </c>
      <c r="G361" s="136">
        <f t="shared" si="15"/>
        <v>2832.1567106283942</v>
      </c>
      <c r="H361" s="187">
        <v>25611</v>
      </c>
      <c r="I361" s="89">
        <v>25780</v>
      </c>
      <c r="J361" s="89">
        <v>2340</v>
      </c>
      <c r="K361" s="89">
        <v>2290</v>
      </c>
      <c r="L361" s="89">
        <v>2205</v>
      </c>
      <c r="M361" s="89">
        <v>2195</v>
      </c>
      <c r="N361" s="89">
        <v>73013000</v>
      </c>
      <c r="O361" s="113" t="s">
        <v>216</v>
      </c>
      <c r="P361" s="256">
        <v>25611</v>
      </c>
      <c r="Q361" s="258">
        <v>25.6</v>
      </c>
      <c r="R361" s="258">
        <v>25.6</v>
      </c>
      <c r="S361" s="258">
        <v>25.6</v>
      </c>
      <c r="T361" s="258">
        <v>25.7</v>
      </c>
      <c r="U361" s="258">
        <v>25.8</v>
      </c>
      <c r="V361" s="258">
        <v>25.9</v>
      </c>
      <c r="W361" s="258">
        <v>25.9</v>
      </c>
      <c r="X361" s="258">
        <v>25.9</v>
      </c>
      <c r="Y361" s="258">
        <v>25.9</v>
      </c>
      <c r="Z361" s="258">
        <v>25.9</v>
      </c>
    </row>
    <row r="362" spans="1:26" x14ac:dyDescent="0.2">
      <c r="A362" t="s">
        <v>694</v>
      </c>
      <c r="C362" s="139" t="s">
        <v>415</v>
      </c>
      <c r="D362" s="95">
        <f t="shared" si="16"/>
        <v>-1.1081498106326273E-3</v>
      </c>
      <c r="E362" t="s">
        <v>578</v>
      </c>
      <c r="F362" s="95">
        <f t="shared" si="17"/>
        <v>2.1072796934865901E-2</v>
      </c>
      <c r="G362" s="136">
        <f t="shared" si="15"/>
        <v>4094.8133227825338</v>
      </c>
      <c r="H362" s="187">
        <v>14258</v>
      </c>
      <c r="I362" s="89">
        <v>13901</v>
      </c>
      <c r="J362" s="89">
        <v>1375</v>
      </c>
      <c r="K362" s="89">
        <v>1315</v>
      </c>
      <c r="L362" s="89">
        <v>1265</v>
      </c>
      <c r="M362" s="89">
        <v>1265</v>
      </c>
      <c r="N362" s="89">
        <v>56922000</v>
      </c>
      <c r="O362" s="113" t="s">
        <v>415</v>
      </c>
      <c r="P362" s="256">
        <v>14258</v>
      </c>
      <c r="Q362" s="258">
        <v>14.2</v>
      </c>
      <c r="R362" s="258">
        <v>14.2</v>
      </c>
      <c r="S362" s="258">
        <v>14.2</v>
      </c>
      <c r="T362" s="258">
        <v>14.1</v>
      </c>
      <c r="U362" s="258">
        <v>14.1</v>
      </c>
      <c r="V362" s="258">
        <v>14.1</v>
      </c>
      <c r="W362" s="258">
        <v>14</v>
      </c>
      <c r="X362" s="258">
        <v>14</v>
      </c>
      <c r="Y362" s="258">
        <v>14</v>
      </c>
      <c r="Z362" s="258">
        <v>14.1</v>
      </c>
    </row>
    <row r="363" spans="1:26" x14ac:dyDescent="0.2">
      <c r="A363" t="s">
        <v>695</v>
      </c>
      <c r="C363" s="139" t="s">
        <v>238</v>
      </c>
      <c r="D363" s="95">
        <f t="shared" si="16"/>
        <v>-9.0424873033568675E-4</v>
      </c>
      <c r="E363" t="s">
        <v>578</v>
      </c>
      <c r="F363" s="95">
        <f t="shared" si="17"/>
        <v>3.1007751937984496E-2</v>
      </c>
      <c r="G363" s="136">
        <f t="shared" si="15"/>
        <v>1270.3576225654801</v>
      </c>
      <c r="H363" s="187">
        <v>24219</v>
      </c>
      <c r="I363" s="89">
        <v>23824</v>
      </c>
      <c r="J363" s="89">
        <v>2050</v>
      </c>
      <c r="K363" s="89">
        <v>1985</v>
      </c>
      <c r="L363" s="89">
        <v>1895</v>
      </c>
      <c r="M363" s="89">
        <v>1810</v>
      </c>
      <c r="N363" s="89">
        <v>30265000</v>
      </c>
      <c r="O363" s="113" t="s">
        <v>238</v>
      </c>
      <c r="P363" s="256">
        <v>24219</v>
      </c>
      <c r="Q363" s="258">
        <v>23.9</v>
      </c>
      <c r="R363" s="258">
        <v>23.9</v>
      </c>
      <c r="S363" s="258">
        <v>24</v>
      </c>
      <c r="T363" s="258">
        <v>24</v>
      </c>
      <c r="U363" s="258">
        <v>24</v>
      </c>
      <c r="V363" s="258">
        <v>24.1</v>
      </c>
      <c r="W363" s="258">
        <v>24</v>
      </c>
      <c r="X363" s="258">
        <v>24</v>
      </c>
      <c r="Y363" s="258">
        <v>24</v>
      </c>
      <c r="Z363" s="258">
        <v>24</v>
      </c>
    </row>
    <row r="364" spans="1:26" x14ac:dyDescent="0.2">
      <c r="A364" t="s">
        <v>692</v>
      </c>
      <c r="C364" s="139" t="s">
        <v>289</v>
      </c>
      <c r="D364" s="95">
        <f t="shared" si="16"/>
        <v>7.8770977053671911E-4</v>
      </c>
      <c r="E364" t="s">
        <v>173</v>
      </c>
      <c r="F364" s="95">
        <f t="shared" si="17"/>
        <v>2.1840873634945399E-2</v>
      </c>
      <c r="G364" s="136">
        <f t="shared" si="15"/>
        <v>780.23272941523055</v>
      </c>
      <c r="H364" s="187">
        <v>40878</v>
      </c>
      <c r="I364" s="89">
        <v>40734</v>
      </c>
      <c r="J364" s="89">
        <v>3350</v>
      </c>
      <c r="K364" s="89">
        <v>3240</v>
      </c>
      <c r="L364" s="89">
        <v>3160</v>
      </c>
      <c r="M364" s="89">
        <v>3070</v>
      </c>
      <c r="N364" s="89">
        <v>31782000</v>
      </c>
      <c r="O364" s="113" t="s">
        <v>289</v>
      </c>
      <c r="P364" s="256">
        <v>40878</v>
      </c>
      <c r="Q364" s="258">
        <v>40.9</v>
      </c>
      <c r="R364" s="258">
        <v>40.9</v>
      </c>
      <c r="S364" s="258">
        <v>41</v>
      </c>
      <c r="T364" s="258">
        <v>41</v>
      </c>
      <c r="U364" s="258">
        <v>41.1</v>
      </c>
      <c r="V364" s="258">
        <v>41.2</v>
      </c>
      <c r="W364" s="258">
        <v>41.3</v>
      </c>
      <c r="X364" s="258">
        <v>41.4</v>
      </c>
      <c r="Y364" s="258">
        <v>41.3</v>
      </c>
      <c r="Z364" s="258">
        <v>41.2</v>
      </c>
    </row>
    <row r="365" spans="1:26" x14ac:dyDescent="0.2">
      <c r="A365" t="s">
        <v>691</v>
      </c>
      <c r="C365" s="139" t="s">
        <v>360</v>
      </c>
      <c r="D365" s="95">
        <f t="shared" si="16"/>
        <v>-3.5918436993430595E-3</v>
      </c>
      <c r="E365" t="s">
        <v>578</v>
      </c>
      <c r="F365" s="95">
        <f t="shared" si="17"/>
        <v>1.277297074577668E-2</v>
      </c>
      <c r="G365" s="136">
        <f t="shared" si="15"/>
        <v>1270.2888288056306</v>
      </c>
      <c r="H365" s="187">
        <v>23442</v>
      </c>
      <c r="I365" s="89">
        <v>23301</v>
      </c>
      <c r="J365" s="89">
        <v>3135</v>
      </c>
      <c r="K365" s="89">
        <v>3045</v>
      </c>
      <c r="L365" s="89">
        <v>2975</v>
      </c>
      <c r="M365" s="89">
        <v>2980</v>
      </c>
      <c r="N365" s="89">
        <v>29599000</v>
      </c>
      <c r="O365" s="113" t="s">
        <v>360</v>
      </c>
      <c r="P365" s="256">
        <v>23442</v>
      </c>
      <c r="Q365" s="258">
        <v>22.9</v>
      </c>
      <c r="R365" s="258">
        <v>22.9</v>
      </c>
      <c r="S365" s="258">
        <v>22.9</v>
      </c>
      <c r="T365" s="258">
        <v>23</v>
      </c>
      <c r="U365" s="258">
        <v>23</v>
      </c>
      <c r="V365" s="258">
        <v>23</v>
      </c>
      <c r="W365" s="258">
        <v>23</v>
      </c>
      <c r="X365" s="258">
        <v>22.9</v>
      </c>
      <c r="Y365" s="258">
        <v>22.8</v>
      </c>
      <c r="Z365" s="258">
        <v>22.6</v>
      </c>
    </row>
    <row r="366" spans="1:26" x14ac:dyDescent="0.2">
      <c r="A366" t="s">
        <v>697</v>
      </c>
      <c r="C366" s="139" t="s">
        <v>315</v>
      </c>
      <c r="D366" s="95">
        <f t="shared" si="16"/>
        <v>-4.4247787610619468E-4</v>
      </c>
      <c r="E366" t="s">
        <v>578</v>
      </c>
      <c r="F366" s="95">
        <f t="shared" si="17"/>
        <v>2.4110910186859555E-2</v>
      </c>
      <c r="G366" s="136">
        <f t="shared" si="15"/>
        <v>1324.4883801595561</v>
      </c>
      <c r="H366" s="187">
        <v>23504</v>
      </c>
      <c r="I366" s="89">
        <v>23064</v>
      </c>
      <c r="J366" s="89">
        <v>2185</v>
      </c>
      <c r="K366" s="89">
        <v>2115</v>
      </c>
      <c r="L366" s="89">
        <v>2010</v>
      </c>
      <c r="M366" s="89">
        <v>1985</v>
      </c>
      <c r="N366" s="89">
        <v>30548000</v>
      </c>
      <c r="O366" s="113" t="s">
        <v>315</v>
      </c>
      <c r="P366" s="256">
        <v>23504</v>
      </c>
      <c r="Q366" s="258">
        <v>23</v>
      </c>
      <c r="R366" s="258">
        <v>23</v>
      </c>
      <c r="S366" s="258">
        <v>23</v>
      </c>
      <c r="T366" s="258">
        <v>23</v>
      </c>
      <c r="U366" s="258">
        <v>23.1</v>
      </c>
      <c r="V366" s="258">
        <v>23.2</v>
      </c>
      <c r="W366" s="258">
        <v>23.3</v>
      </c>
      <c r="X366" s="258">
        <v>23.3</v>
      </c>
      <c r="Y366" s="258">
        <v>23.4</v>
      </c>
      <c r="Z366" s="258">
        <v>23.4</v>
      </c>
    </row>
    <row r="367" spans="1:26" x14ac:dyDescent="0.2">
      <c r="A367" t="s">
        <v>698</v>
      </c>
      <c r="C367" s="139" t="s">
        <v>195</v>
      </c>
      <c r="D367" s="95">
        <f t="shared" si="16"/>
        <v>7.6493086201824068E-4</v>
      </c>
      <c r="E367" t="s">
        <v>173</v>
      </c>
      <c r="F367" s="95">
        <f t="shared" si="17"/>
        <v>2.3017902813299233E-2</v>
      </c>
      <c r="G367" s="136">
        <f t="shared" si="15"/>
        <v>44.612854793737043</v>
      </c>
      <c r="H367" s="187">
        <v>13596</v>
      </c>
      <c r="I367" s="89">
        <v>13987</v>
      </c>
      <c r="J367" s="89">
        <v>1030</v>
      </c>
      <c r="K367" s="89">
        <v>990</v>
      </c>
      <c r="L367" s="89">
        <v>950</v>
      </c>
      <c r="M367" s="89">
        <v>940</v>
      </c>
      <c r="N367" s="89">
        <v>624000</v>
      </c>
      <c r="O367" s="113" t="s">
        <v>195</v>
      </c>
      <c r="P367" s="256">
        <v>13596</v>
      </c>
      <c r="Q367" s="258">
        <v>13.8</v>
      </c>
      <c r="R367" s="258">
        <v>13.8</v>
      </c>
      <c r="S367" s="258">
        <v>13.8</v>
      </c>
      <c r="T367" s="258">
        <v>13.7</v>
      </c>
      <c r="U367" s="258">
        <v>13.7</v>
      </c>
      <c r="V367" s="258">
        <v>13.7</v>
      </c>
      <c r="W367" s="258">
        <v>13.7</v>
      </c>
      <c r="X367" s="258">
        <v>13.7</v>
      </c>
      <c r="Y367" s="258">
        <v>13.7</v>
      </c>
      <c r="Z367" s="258">
        <v>13.7</v>
      </c>
    </row>
    <row r="368" spans="1:26" x14ac:dyDescent="0.2">
      <c r="A368" t="s">
        <v>692</v>
      </c>
      <c r="C368" s="139" t="s">
        <v>290</v>
      </c>
      <c r="D368" s="95">
        <f t="shared" si="16"/>
        <v>-4.8574591752006645E-3</v>
      </c>
      <c r="E368" t="s">
        <v>173</v>
      </c>
      <c r="F368" s="95">
        <f t="shared" si="17"/>
        <v>1.776103336921421E-2</v>
      </c>
      <c r="G368" s="136">
        <f t="shared" si="15"/>
        <v>2296.2758239480413</v>
      </c>
      <c r="H368" s="187">
        <v>28904</v>
      </c>
      <c r="I368" s="89">
        <v>28946</v>
      </c>
      <c r="J368" s="89">
        <v>2405</v>
      </c>
      <c r="K368" s="89">
        <v>2350</v>
      </c>
      <c r="L368" s="89">
        <v>2295</v>
      </c>
      <c r="M368" s="89">
        <v>2240</v>
      </c>
      <c r="N368" s="89">
        <v>66468000</v>
      </c>
      <c r="O368" s="113" t="s">
        <v>290</v>
      </c>
      <c r="P368" s="256">
        <v>28904</v>
      </c>
      <c r="Q368" s="258">
        <v>29</v>
      </c>
      <c r="R368" s="258">
        <v>29</v>
      </c>
      <c r="S368" s="258">
        <v>28.9</v>
      </c>
      <c r="T368" s="258">
        <v>28.7</v>
      </c>
      <c r="U368" s="258">
        <v>28.5</v>
      </c>
      <c r="V368" s="258">
        <v>28.3</v>
      </c>
      <c r="W368" s="258">
        <v>28.1</v>
      </c>
      <c r="X368" s="258">
        <v>27.9</v>
      </c>
      <c r="Y368" s="258">
        <v>27.7</v>
      </c>
      <c r="Z368" s="258">
        <v>27.5</v>
      </c>
    </row>
    <row r="369" spans="1:26" x14ac:dyDescent="0.2">
      <c r="A369" t="s">
        <v>690</v>
      </c>
      <c r="C369" s="139" t="s">
        <v>494</v>
      </c>
      <c r="D369" s="95">
        <f t="shared" si="16"/>
        <v>-2.8992809050519854E-3</v>
      </c>
      <c r="E369" t="s">
        <v>578</v>
      </c>
      <c r="F369" s="95">
        <f t="shared" si="17"/>
        <v>1.4446227929373997E-2</v>
      </c>
      <c r="G369" s="136">
        <f t="shared" si="15"/>
        <v>168.4890426758939</v>
      </c>
      <c r="H369" s="187">
        <v>21833</v>
      </c>
      <c r="I369" s="89">
        <v>21675</v>
      </c>
      <c r="J369" s="89">
        <v>1615</v>
      </c>
      <c r="K369" s="89">
        <v>1565</v>
      </c>
      <c r="L369" s="89">
        <v>1525</v>
      </c>
      <c r="M369" s="89">
        <v>1525</v>
      </c>
      <c r="N369" s="89">
        <v>3652000</v>
      </c>
      <c r="O369" s="113" t="s">
        <v>494</v>
      </c>
      <c r="P369" s="256">
        <v>21833</v>
      </c>
      <c r="Q369" s="258">
        <v>21.6</v>
      </c>
      <c r="R369" s="258">
        <v>21.5</v>
      </c>
      <c r="S369" s="258">
        <v>21.5</v>
      </c>
      <c r="T369" s="258">
        <v>21.4</v>
      </c>
      <c r="U369" s="258">
        <v>21.4</v>
      </c>
      <c r="V369" s="258">
        <v>21.3</v>
      </c>
      <c r="W369" s="258">
        <v>21.3</v>
      </c>
      <c r="X369" s="258">
        <v>21.3</v>
      </c>
      <c r="Y369" s="258">
        <v>21.2</v>
      </c>
      <c r="Z369" s="258">
        <v>21.2</v>
      </c>
    </row>
    <row r="370" spans="1:26" x14ac:dyDescent="0.2">
      <c r="A370" t="s">
        <v>697</v>
      </c>
      <c r="C370" s="139" t="s">
        <v>316</v>
      </c>
      <c r="D370" s="95">
        <f t="shared" si="16"/>
        <v>3.8391366794767287E-3</v>
      </c>
      <c r="E370" t="s">
        <v>578</v>
      </c>
      <c r="F370" s="95">
        <f t="shared" si="17"/>
        <v>2.7910685805422646E-2</v>
      </c>
      <c r="G370" s="136">
        <f t="shared" si="15"/>
        <v>1561.3761687844642</v>
      </c>
      <c r="H370" s="187">
        <v>51522</v>
      </c>
      <c r="I370" s="89">
        <v>50052</v>
      </c>
      <c r="J370" s="89">
        <v>4990</v>
      </c>
      <c r="K370" s="89">
        <v>4805</v>
      </c>
      <c r="L370" s="89">
        <v>4550</v>
      </c>
      <c r="M370" s="89">
        <v>4465</v>
      </c>
      <c r="N370" s="89">
        <v>78150000</v>
      </c>
      <c r="O370" s="113" t="s">
        <v>316</v>
      </c>
      <c r="P370" s="256">
        <v>51522</v>
      </c>
      <c r="Q370" s="258">
        <v>51.3</v>
      </c>
      <c r="R370" s="258">
        <v>51.7</v>
      </c>
      <c r="S370" s="258">
        <v>52</v>
      </c>
      <c r="T370" s="258">
        <v>52.3</v>
      </c>
      <c r="U370" s="258">
        <v>52.5</v>
      </c>
      <c r="V370" s="258">
        <v>52.7</v>
      </c>
      <c r="W370" s="258">
        <v>53</v>
      </c>
      <c r="X370" s="258">
        <v>53.2</v>
      </c>
      <c r="Y370" s="258">
        <v>53.3</v>
      </c>
      <c r="Z370" s="258">
        <v>53.5</v>
      </c>
    </row>
    <row r="371" spans="1:26" x14ac:dyDescent="0.2">
      <c r="A371" t="s">
        <v>691</v>
      </c>
      <c r="C371" s="139" t="s">
        <v>361</v>
      </c>
      <c r="D371" s="95">
        <f t="shared" si="16"/>
        <v>2.5056947608200456E-3</v>
      </c>
      <c r="E371" t="s">
        <v>578</v>
      </c>
      <c r="F371" s="95">
        <f t="shared" si="17"/>
        <v>1.3618677042801557E-2</v>
      </c>
      <c r="G371" s="136">
        <f t="shared" si="15"/>
        <v>612.0017742855332</v>
      </c>
      <c r="H371" s="187">
        <v>15804</v>
      </c>
      <c r="I371" s="89">
        <v>15781</v>
      </c>
      <c r="J371" s="89">
        <v>1320</v>
      </c>
      <c r="K371" s="89">
        <v>1300</v>
      </c>
      <c r="L371" s="89">
        <v>1270</v>
      </c>
      <c r="M371" s="89">
        <v>1250</v>
      </c>
      <c r="N371" s="89">
        <v>9658000</v>
      </c>
      <c r="O371" s="113" t="s">
        <v>361</v>
      </c>
      <c r="P371" s="256">
        <v>15804</v>
      </c>
      <c r="Q371" s="258">
        <v>15.9</v>
      </c>
      <c r="R371" s="258">
        <v>16</v>
      </c>
      <c r="S371" s="258">
        <v>16.100000000000001</v>
      </c>
      <c r="T371" s="258">
        <v>16.2</v>
      </c>
      <c r="U371" s="258">
        <v>16.2</v>
      </c>
      <c r="V371" s="258">
        <v>16.3</v>
      </c>
      <c r="W371" s="258">
        <v>16.3</v>
      </c>
      <c r="X371" s="258">
        <v>16.3</v>
      </c>
      <c r="Y371" s="258">
        <v>16.3</v>
      </c>
      <c r="Z371" s="258">
        <v>16.2</v>
      </c>
    </row>
    <row r="372" spans="1:26" x14ac:dyDescent="0.2">
      <c r="A372" t="s">
        <v>697</v>
      </c>
      <c r="C372" s="139" t="s">
        <v>317</v>
      </c>
      <c r="D372" s="95">
        <f t="shared" si="16"/>
        <v>9.4402015589323679E-3</v>
      </c>
      <c r="E372" t="s">
        <v>578</v>
      </c>
      <c r="F372" s="95">
        <f t="shared" si="17"/>
        <v>3.1690140845070422E-2</v>
      </c>
      <c r="G372" s="136">
        <f t="shared" si="15"/>
        <v>1567.9740734585341</v>
      </c>
      <c r="H372" s="187">
        <v>12701</v>
      </c>
      <c r="I372" s="89">
        <v>12034</v>
      </c>
      <c r="J372" s="89">
        <v>1135</v>
      </c>
      <c r="K372" s="89">
        <v>1100</v>
      </c>
      <c r="L372" s="89">
        <v>1025</v>
      </c>
      <c r="M372" s="89">
        <v>1000</v>
      </c>
      <c r="N372" s="89">
        <v>18869000</v>
      </c>
      <c r="O372" s="113" t="s">
        <v>317</v>
      </c>
      <c r="P372" s="256">
        <v>12701</v>
      </c>
      <c r="Q372" s="258">
        <v>12.7</v>
      </c>
      <c r="R372" s="258">
        <v>12.8</v>
      </c>
      <c r="S372" s="258">
        <v>13</v>
      </c>
      <c r="T372" s="258">
        <v>13.1</v>
      </c>
      <c r="U372" s="258">
        <v>13.2</v>
      </c>
      <c r="V372" s="258">
        <v>13.3</v>
      </c>
      <c r="W372" s="258">
        <v>13.4</v>
      </c>
      <c r="X372" s="258">
        <v>13.6</v>
      </c>
      <c r="Y372" s="258">
        <v>13.7</v>
      </c>
      <c r="Z372" s="258">
        <v>13.9</v>
      </c>
    </row>
    <row r="373" spans="1:26" x14ac:dyDescent="0.2">
      <c r="A373" t="s">
        <v>690</v>
      </c>
      <c r="C373" s="139" t="s">
        <v>495</v>
      </c>
      <c r="D373" s="95">
        <f t="shared" si="16"/>
        <v>-9.4242278324275976E-4</v>
      </c>
      <c r="E373" t="s">
        <v>578</v>
      </c>
      <c r="F373" s="95">
        <f t="shared" si="17"/>
        <v>2.7522935779816515E-2</v>
      </c>
      <c r="G373" s="136">
        <f t="shared" si="15"/>
        <v>1658.3657047724751</v>
      </c>
      <c r="H373" s="187">
        <v>14537</v>
      </c>
      <c r="I373" s="89">
        <v>14416</v>
      </c>
      <c r="J373" s="89">
        <v>1435</v>
      </c>
      <c r="K373" s="89">
        <v>1390</v>
      </c>
      <c r="L373" s="89">
        <v>1340</v>
      </c>
      <c r="M373" s="89">
        <v>1285</v>
      </c>
      <c r="N373" s="89">
        <v>23907000</v>
      </c>
      <c r="O373" s="113" t="s">
        <v>495</v>
      </c>
      <c r="P373" s="256">
        <v>14537</v>
      </c>
      <c r="Q373" s="258">
        <v>14.4</v>
      </c>
      <c r="R373" s="258">
        <v>14.3</v>
      </c>
      <c r="S373" s="258">
        <v>14.3</v>
      </c>
      <c r="T373" s="258">
        <v>14.4</v>
      </c>
      <c r="U373" s="258">
        <v>14.4</v>
      </c>
      <c r="V373" s="258">
        <v>14.4</v>
      </c>
      <c r="W373" s="258">
        <v>14.4</v>
      </c>
      <c r="X373" s="258">
        <v>14.4</v>
      </c>
      <c r="Y373" s="258">
        <v>14.4</v>
      </c>
      <c r="Z373" s="258">
        <v>14.4</v>
      </c>
    </row>
    <row r="374" spans="1:26" x14ac:dyDescent="0.2">
      <c r="A374" t="s">
        <v>691</v>
      </c>
      <c r="C374" s="139" t="s">
        <v>362</v>
      </c>
      <c r="D374" s="95">
        <f t="shared" si="16"/>
        <v>5.8211382113821141E-3</v>
      </c>
      <c r="E374" t="s">
        <v>544</v>
      </c>
      <c r="F374" s="95">
        <f t="shared" si="17"/>
        <v>2.1955636034404709E-2</v>
      </c>
      <c r="G374" s="136">
        <f t="shared" si="15"/>
        <v>3206.2368071431943</v>
      </c>
      <c r="H374" s="187">
        <v>153750</v>
      </c>
      <c r="I374" s="89">
        <v>148281</v>
      </c>
      <c r="J374" s="89">
        <v>11580</v>
      </c>
      <c r="K374" s="89">
        <v>11180</v>
      </c>
      <c r="L374" s="89">
        <v>10810</v>
      </c>
      <c r="M374" s="89">
        <v>10610</v>
      </c>
      <c r="N374" s="89">
        <v>475424000</v>
      </c>
      <c r="O374" s="113" t="s">
        <v>362</v>
      </c>
      <c r="P374" s="256">
        <v>153750</v>
      </c>
      <c r="Q374" s="258">
        <v>153.9</v>
      </c>
      <c r="R374" s="258">
        <v>155.30000000000001</v>
      </c>
      <c r="S374" s="258">
        <v>156.80000000000001</v>
      </c>
      <c r="T374" s="258">
        <v>157.69999999999999</v>
      </c>
      <c r="U374" s="258">
        <v>158.6</v>
      </c>
      <c r="V374" s="258">
        <v>159.1</v>
      </c>
      <c r="W374" s="258">
        <v>159.6</v>
      </c>
      <c r="X374" s="258">
        <v>160.5</v>
      </c>
      <c r="Y374" s="258">
        <v>161.5</v>
      </c>
      <c r="Z374" s="258">
        <v>162.69999999999999</v>
      </c>
    </row>
    <row r="375" spans="1:26" x14ac:dyDescent="0.2">
      <c r="A375" t="s">
        <v>692</v>
      </c>
      <c r="C375" s="139" t="s">
        <v>291</v>
      </c>
      <c r="D375" s="95">
        <f t="shared" si="16"/>
        <v>2.6328127817650665E-4</v>
      </c>
      <c r="E375" t="s">
        <v>578</v>
      </c>
      <c r="F375" s="95">
        <f t="shared" si="17"/>
        <v>1.4518257809062912E-2</v>
      </c>
      <c r="G375" s="136">
        <f t="shared" si="15"/>
        <v>2375.5509075969226</v>
      </c>
      <c r="H375" s="187">
        <v>27727</v>
      </c>
      <c r="I375" s="89">
        <v>26774</v>
      </c>
      <c r="J375" s="89">
        <v>2930</v>
      </c>
      <c r="K375" s="89">
        <v>2885</v>
      </c>
      <c r="L375" s="89">
        <v>2785</v>
      </c>
      <c r="M375" s="89">
        <v>2765</v>
      </c>
      <c r="N375" s="89">
        <v>63603000</v>
      </c>
      <c r="O375" s="113" t="s">
        <v>291</v>
      </c>
      <c r="P375" s="256">
        <v>27727</v>
      </c>
      <c r="Q375" s="258">
        <v>27.4</v>
      </c>
      <c r="R375" s="258">
        <v>27.5</v>
      </c>
      <c r="S375" s="258">
        <v>27.5</v>
      </c>
      <c r="T375" s="258">
        <v>27.6</v>
      </c>
      <c r="U375" s="258">
        <v>27.7</v>
      </c>
      <c r="V375" s="258">
        <v>27.7</v>
      </c>
      <c r="W375" s="258">
        <v>27.8</v>
      </c>
      <c r="X375" s="258">
        <v>27.8</v>
      </c>
      <c r="Y375" s="258">
        <v>27.8</v>
      </c>
      <c r="Z375" s="258">
        <v>27.8</v>
      </c>
    </row>
    <row r="376" spans="1:26" x14ac:dyDescent="0.2">
      <c r="A376" t="s">
        <v>691</v>
      </c>
      <c r="C376" s="139" t="s">
        <v>363</v>
      </c>
      <c r="D376" s="95">
        <f t="shared" si="16"/>
        <v>8.9144074819462529E-3</v>
      </c>
      <c r="E376" t="s">
        <v>173</v>
      </c>
      <c r="F376" s="95">
        <f t="shared" si="17"/>
        <v>2.4763292061179897E-2</v>
      </c>
      <c r="G376" s="136">
        <f t="shared" si="15"/>
        <v>3139.1508017536485</v>
      </c>
      <c r="H376" s="187">
        <v>16894</v>
      </c>
      <c r="I376" s="89">
        <v>16651</v>
      </c>
      <c r="J376" s="89">
        <v>1810</v>
      </c>
      <c r="K376" s="89">
        <v>1740</v>
      </c>
      <c r="L376" s="89">
        <v>1675</v>
      </c>
      <c r="M376" s="89">
        <v>1640</v>
      </c>
      <c r="N376" s="89">
        <v>52270000</v>
      </c>
      <c r="O376" s="113" t="s">
        <v>363</v>
      </c>
      <c r="P376" s="256">
        <v>16894</v>
      </c>
      <c r="Q376" s="258">
        <v>17.100000000000001</v>
      </c>
      <c r="R376" s="258">
        <v>17.399999999999999</v>
      </c>
      <c r="S376" s="258">
        <v>17.7</v>
      </c>
      <c r="T376" s="258">
        <v>17.8</v>
      </c>
      <c r="U376" s="258">
        <v>17.899999999999999</v>
      </c>
      <c r="V376" s="258">
        <v>17.899999999999999</v>
      </c>
      <c r="W376" s="258">
        <v>18.100000000000001</v>
      </c>
      <c r="X376" s="258">
        <v>18.2</v>
      </c>
      <c r="Y376" s="258">
        <v>18.3</v>
      </c>
      <c r="Z376" s="258">
        <v>18.399999999999999</v>
      </c>
    </row>
    <row r="377" spans="1:26" x14ac:dyDescent="0.2">
      <c r="A377" t="s">
        <v>694</v>
      </c>
      <c r="C377" s="139" t="s">
        <v>416</v>
      </c>
      <c r="D377" s="95">
        <f t="shared" si="16"/>
        <v>1.8859744201170606E-3</v>
      </c>
      <c r="E377" t="s">
        <v>578</v>
      </c>
      <c r="F377" s="95">
        <f t="shared" si="17"/>
        <v>2.6508226691042046E-2</v>
      </c>
      <c r="G377" s="136">
        <f t="shared" si="15"/>
        <v>1248.995087092452</v>
      </c>
      <c r="H377" s="187">
        <v>13839</v>
      </c>
      <c r="I377" s="89">
        <v>13434</v>
      </c>
      <c r="J377" s="89">
        <v>1445</v>
      </c>
      <c r="K377" s="89">
        <v>1390</v>
      </c>
      <c r="L377" s="89">
        <v>1335</v>
      </c>
      <c r="M377" s="89">
        <v>1300</v>
      </c>
      <c r="N377" s="89">
        <v>16779000</v>
      </c>
      <c r="O377" s="113" t="s">
        <v>416</v>
      </c>
      <c r="P377" s="256">
        <v>13839</v>
      </c>
      <c r="Q377" s="258">
        <v>13.8</v>
      </c>
      <c r="R377" s="258">
        <v>13.9</v>
      </c>
      <c r="S377" s="258">
        <v>13.9</v>
      </c>
      <c r="T377" s="258">
        <v>14</v>
      </c>
      <c r="U377" s="258">
        <v>14</v>
      </c>
      <c r="V377" s="258">
        <v>14.1</v>
      </c>
      <c r="W377" s="258">
        <v>14.1</v>
      </c>
      <c r="X377" s="258">
        <v>14.1</v>
      </c>
      <c r="Y377" s="258">
        <v>14.1</v>
      </c>
      <c r="Z377" s="258">
        <v>14.1</v>
      </c>
    </row>
    <row r="378" spans="1:26" x14ac:dyDescent="0.2">
      <c r="A378" t="s">
        <v>696</v>
      </c>
      <c r="C378" s="139" t="s">
        <v>534</v>
      </c>
      <c r="D378" s="95">
        <f t="shared" si="16"/>
        <v>3.2993454739747982E-3</v>
      </c>
      <c r="E378" t="s">
        <v>578</v>
      </c>
      <c r="F378" s="95">
        <f t="shared" si="17"/>
        <v>1.5376166941241077E-2</v>
      </c>
      <c r="G378" s="136">
        <f t="shared" si="15"/>
        <v>-488.11537016159338</v>
      </c>
      <c r="H378" s="187">
        <v>22459</v>
      </c>
      <c r="I378" s="89">
        <v>21288</v>
      </c>
      <c r="J378" s="89">
        <v>2345</v>
      </c>
      <c r="K378" s="89">
        <v>2315</v>
      </c>
      <c r="L378" s="89">
        <v>2240</v>
      </c>
      <c r="M378" s="89">
        <v>2205</v>
      </c>
      <c r="N378" s="89">
        <v>-10391000</v>
      </c>
      <c r="O378" s="113" t="s">
        <v>534</v>
      </c>
      <c r="P378" s="256">
        <v>22459</v>
      </c>
      <c r="Q378" s="258">
        <v>23</v>
      </c>
      <c r="R378" s="258">
        <v>23.2</v>
      </c>
      <c r="S378" s="258">
        <v>23</v>
      </c>
      <c r="T378" s="258">
        <v>22.9</v>
      </c>
      <c r="U378" s="258">
        <v>22.8</v>
      </c>
      <c r="V378" s="258">
        <v>22.9</v>
      </c>
      <c r="W378" s="258">
        <v>23</v>
      </c>
      <c r="X378" s="258">
        <v>23</v>
      </c>
      <c r="Y378" s="258">
        <v>23.1</v>
      </c>
      <c r="Z378" s="258">
        <v>23.2</v>
      </c>
    </row>
    <row r="379" spans="1:26" x14ac:dyDescent="0.2">
      <c r="A379" t="s">
        <v>697</v>
      </c>
      <c r="C379" s="139" t="s">
        <v>318</v>
      </c>
      <c r="D379" s="95">
        <f t="shared" si="16"/>
        <v>2.1869926463566041E-3</v>
      </c>
      <c r="E379" t="s">
        <v>544</v>
      </c>
      <c r="F379" s="95">
        <f t="shared" si="17"/>
        <v>1.6129032258064516E-2</v>
      </c>
      <c r="G379" s="136">
        <f t="shared" si="15"/>
        <v>-678.27805268401028</v>
      </c>
      <c r="H379" s="187">
        <v>62826</v>
      </c>
      <c r="I379" s="89">
        <v>61233</v>
      </c>
      <c r="J379" s="89">
        <v>5865</v>
      </c>
      <c r="K379" s="89">
        <v>5710</v>
      </c>
      <c r="L379" s="89">
        <v>5555</v>
      </c>
      <c r="M379" s="89">
        <v>5500</v>
      </c>
      <c r="N379" s="89">
        <v>-41533000</v>
      </c>
      <c r="O379" s="113" t="s">
        <v>318</v>
      </c>
      <c r="P379" s="256">
        <v>62826</v>
      </c>
      <c r="Q379" s="258">
        <v>62.8</v>
      </c>
      <c r="R379" s="258">
        <v>63.4</v>
      </c>
      <c r="S379" s="258">
        <v>63.7</v>
      </c>
      <c r="T379" s="258">
        <v>63.9</v>
      </c>
      <c r="U379" s="258">
        <v>63.9</v>
      </c>
      <c r="V379" s="258">
        <v>63.8</v>
      </c>
      <c r="W379" s="258">
        <v>63.7</v>
      </c>
      <c r="X379" s="258">
        <v>63.8</v>
      </c>
      <c r="Y379" s="258">
        <v>64</v>
      </c>
      <c r="Z379" s="258">
        <v>64.2</v>
      </c>
    </row>
    <row r="380" spans="1:26" x14ac:dyDescent="0.2">
      <c r="A380" t="s">
        <v>692</v>
      </c>
      <c r="C380" s="139" t="s">
        <v>292</v>
      </c>
      <c r="D380" s="95">
        <f t="shared" si="16"/>
        <v>1.6247606103663435E-3</v>
      </c>
      <c r="E380" t="s">
        <v>173</v>
      </c>
      <c r="F380" s="95">
        <f t="shared" si="17"/>
        <v>1.4631401238041642E-2</v>
      </c>
      <c r="G380" s="136">
        <f t="shared" si="15"/>
        <v>2500.786333220266</v>
      </c>
      <c r="H380" s="187">
        <v>32374</v>
      </c>
      <c r="I380" s="89">
        <v>32429</v>
      </c>
      <c r="J380" s="89">
        <v>2305</v>
      </c>
      <c r="K380" s="89">
        <v>2240</v>
      </c>
      <c r="L380" s="89">
        <v>2165</v>
      </c>
      <c r="M380" s="89">
        <v>2175</v>
      </c>
      <c r="N380" s="89">
        <v>81098000</v>
      </c>
      <c r="O380" s="113" t="s">
        <v>292</v>
      </c>
      <c r="P380" s="256">
        <v>32374</v>
      </c>
      <c r="Q380" s="258">
        <v>32.200000000000003</v>
      </c>
      <c r="R380" s="258">
        <v>32.200000000000003</v>
      </c>
      <c r="S380" s="258">
        <v>32.200000000000003</v>
      </c>
      <c r="T380" s="258">
        <v>32.4</v>
      </c>
      <c r="U380" s="258">
        <v>32.5</v>
      </c>
      <c r="V380" s="258">
        <v>32.6</v>
      </c>
      <c r="W380" s="258">
        <v>32.700000000000003</v>
      </c>
      <c r="X380" s="258">
        <v>32.700000000000003</v>
      </c>
      <c r="Y380" s="258">
        <v>32.799999999999997</v>
      </c>
      <c r="Z380" s="258">
        <v>32.9</v>
      </c>
    </row>
    <row r="381" spans="1:26" x14ac:dyDescent="0.2">
      <c r="A381" t="s">
        <v>694</v>
      </c>
      <c r="C381" s="139" t="s">
        <v>417</v>
      </c>
      <c r="D381" s="95">
        <f t="shared" si="16"/>
        <v>-1.8798348631207664E-3</v>
      </c>
      <c r="E381" t="s">
        <v>544</v>
      </c>
      <c r="F381" s="95">
        <f t="shared" si="17"/>
        <v>3.2422646477946016E-2</v>
      </c>
      <c r="G381" s="136">
        <f t="shared" si="15"/>
        <v>83.878984067816006</v>
      </c>
      <c r="H381" s="187">
        <v>124745</v>
      </c>
      <c r="I381" s="89">
        <v>122331</v>
      </c>
      <c r="J381" s="89">
        <v>8135</v>
      </c>
      <c r="K381" s="89">
        <v>7775</v>
      </c>
      <c r="L381" s="89">
        <v>7320</v>
      </c>
      <c r="M381" s="89">
        <v>7150</v>
      </c>
      <c r="N381" s="89">
        <v>10261000</v>
      </c>
      <c r="O381" s="113" t="s">
        <v>417</v>
      </c>
      <c r="P381" s="256">
        <v>124745</v>
      </c>
      <c r="Q381" s="258">
        <v>123.1</v>
      </c>
      <c r="R381" s="258">
        <v>122.7</v>
      </c>
      <c r="S381" s="258">
        <v>122.5</v>
      </c>
      <c r="T381" s="258">
        <v>122.7</v>
      </c>
      <c r="U381" s="258">
        <v>122.7</v>
      </c>
      <c r="V381" s="258">
        <v>122.8</v>
      </c>
      <c r="W381" s="258">
        <v>122.8</v>
      </c>
      <c r="X381" s="258">
        <v>122.8</v>
      </c>
      <c r="Y381" s="258">
        <v>122.6</v>
      </c>
      <c r="Z381" s="258">
        <v>122.4</v>
      </c>
    </row>
    <row r="382" spans="1:26" x14ac:dyDescent="0.2">
      <c r="A382" t="s">
        <v>694</v>
      </c>
      <c r="C382" s="139" t="s">
        <v>418</v>
      </c>
      <c r="D382" s="95">
        <f t="shared" si="16"/>
        <v>6.3194361486082901E-3</v>
      </c>
      <c r="E382" t="s">
        <v>578</v>
      </c>
      <c r="F382" s="95">
        <f t="shared" si="17"/>
        <v>7.8247261345852897E-3</v>
      </c>
      <c r="G382" s="136">
        <f t="shared" si="15"/>
        <v>1080.1615469342798</v>
      </c>
      <c r="H382" s="187">
        <v>8371</v>
      </c>
      <c r="I382" s="89">
        <v>8171</v>
      </c>
      <c r="J382" s="89">
        <v>815</v>
      </c>
      <c r="K382" s="89">
        <v>805</v>
      </c>
      <c r="L382" s="89">
        <v>785</v>
      </c>
      <c r="M382" s="89">
        <v>790</v>
      </c>
      <c r="N382" s="89">
        <v>8826000</v>
      </c>
      <c r="O382" s="113" t="s">
        <v>418</v>
      </c>
      <c r="P382" s="256">
        <v>8371</v>
      </c>
      <c r="Q382" s="258">
        <v>8.1999999999999993</v>
      </c>
      <c r="R382" s="258">
        <v>8.3000000000000007</v>
      </c>
      <c r="S382" s="258">
        <v>8.4</v>
      </c>
      <c r="T382" s="258">
        <v>8.5</v>
      </c>
      <c r="U382" s="258">
        <v>8.6</v>
      </c>
      <c r="V382" s="258">
        <v>8.6999999999999993</v>
      </c>
      <c r="W382" s="258">
        <v>8.8000000000000007</v>
      </c>
      <c r="X382" s="258">
        <v>8.8000000000000007</v>
      </c>
      <c r="Y382" s="258">
        <v>8.9</v>
      </c>
      <c r="Z382" s="258">
        <v>8.9</v>
      </c>
    </row>
    <row r="383" spans="1:26" x14ac:dyDescent="0.2">
      <c r="A383" t="s">
        <v>698</v>
      </c>
      <c r="C383" s="139" t="s">
        <v>196</v>
      </c>
      <c r="D383" s="95">
        <f t="shared" si="16"/>
        <v>1.9615119546201559E-4</v>
      </c>
      <c r="E383" t="s">
        <v>578</v>
      </c>
      <c r="F383" s="95">
        <f t="shared" si="17"/>
        <v>2.4680073126142597E-2</v>
      </c>
      <c r="G383" s="136">
        <f t="shared" si="15"/>
        <v>1454.2583373481077</v>
      </c>
      <c r="H383" s="187">
        <v>18863</v>
      </c>
      <c r="I383" s="89">
        <v>18681</v>
      </c>
      <c r="J383" s="89">
        <v>1440</v>
      </c>
      <c r="K383" s="89">
        <v>1385</v>
      </c>
      <c r="L383" s="89">
        <v>1340</v>
      </c>
      <c r="M383" s="89">
        <v>1305</v>
      </c>
      <c r="N383" s="89">
        <v>27167000</v>
      </c>
      <c r="O383" s="113" t="s">
        <v>196</v>
      </c>
      <c r="P383" s="256">
        <v>18863</v>
      </c>
      <c r="Q383" s="258">
        <v>18.8</v>
      </c>
      <c r="R383" s="258">
        <v>18.8</v>
      </c>
      <c r="S383" s="258">
        <v>18.899999999999999</v>
      </c>
      <c r="T383" s="258">
        <v>18.899999999999999</v>
      </c>
      <c r="U383" s="258">
        <v>18.899999999999999</v>
      </c>
      <c r="V383" s="258">
        <v>18.899999999999999</v>
      </c>
      <c r="W383" s="258">
        <v>18.899999999999999</v>
      </c>
      <c r="X383" s="258">
        <v>18.899999999999999</v>
      </c>
      <c r="Y383" s="258">
        <v>18.899999999999999</v>
      </c>
      <c r="Z383" s="258">
        <v>18.899999999999999</v>
      </c>
    </row>
    <row r="384" spans="1:26" x14ac:dyDescent="0.2">
      <c r="A384" t="s">
        <v>694</v>
      </c>
      <c r="C384" s="139" t="s">
        <v>419</v>
      </c>
      <c r="D384" s="95">
        <f t="shared" si="16"/>
        <v>4.6741594713231392E-3</v>
      </c>
      <c r="E384" t="s">
        <v>578</v>
      </c>
      <c r="F384" s="95">
        <f t="shared" si="17"/>
        <v>2.7833001988071572E-2</v>
      </c>
      <c r="G384" s="136">
        <f t="shared" ref="G384:G390" si="18">N384/I384</f>
        <v>1297.8634474958817</v>
      </c>
      <c r="H384" s="187">
        <v>41462</v>
      </c>
      <c r="I384" s="89">
        <v>40673</v>
      </c>
      <c r="J384" s="89">
        <v>4005</v>
      </c>
      <c r="K384" s="89">
        <v>3845</v>
      </c>
      <c r="L384" s="89">
        <v>3655</v>
      </c>
      <c r="M384" s="89">
        <v>3585</v>
      </c>
      <c r="N384" s="89">
        <v>52788000</v>
      </c>
      <c r="O384" s="113" t="s">
        <v>419</v>
      </c>
      <c r="P384" s="256">
        <v>41462</v>
      </c>
      <c r="Q384" s="258">
        <v>41.4</v>
      </c>
      <c r="R384" s="258">
        <v>41.7</v>
      </c>
      <c r="S384" s="258">
        <v>42</v>
      </c>
      <c r="T384" s="258">
        <v>42.2</v>
      </c>
      <c r="U384" s="258">
        <v>42.5</v>
      </c>
      <c r="V384" s="258">
        <v>42.7</v>
      </c>
      <c r="W384" s="258">
        <v>42.9</v>
      </c>
      <c r="X384" s="258">
        <v>43.1</v>
      </c>
      <c r="Y384" s="258">
        <v>43.2</v>
      </c>
      <c r="Z384" s="258">
        <v>43.4</v>
      </c>
    </row>
    <row r="385" spans="1:26" x14ac:dyDescent="0.2">
      <c r="A385" t="s">
        <v>690</v>
      </c>
      <c r="C385" s="139" t="s">
        <v>496</v>
      </c>
      <c r="D385" s="95">
        <f t="shared" ref="D385:D402" si="19">(SUM(Z385*1000,-P385)/10)/P385</f>
        <v>-6.3955364965186511E-3</v>
      </c>
      <c r="E385" t="s">
        <v>578</v>
      </c>
      <c r="F385" s="95">
        <f t="shared" si="17"/>
        <v>1.4787430683918669E-2</v>
      </c>
      <c r="G385" s="136">
        <f t="shared" si="18"/>
        <v>505.15998303567221</v>
      </c>
      <c r="H385" s="187">
        <v>21687</v>
      </c>
      <c r="I385" s="89">
        <v>21221</v>
      </c>
      <c r="J385" s="89">
        <v>2110</v>
      </c>
      <c r="K385" s="89">
        <v>2020</v>
      </c>
      <c r="L385" s="89">
        <v>1995</v>
      </c>
      <c r="M385" s="89">
        <v>1990</v>
      </c>
      <c r="N385" s="89">
        <v>10720000</v>
      </c>
      <c r="O385" s="113" t="s">
        <v>496</v>
      </c>
      <c r="P385" s="256">
        <v>21687</v>
      </c>
      <c r="Q385" s="258">
        <v>21.2</v>
      </c>
      <c r="R385" s="258">
        <v>21</v>
      </c>
      <c r="S385" s="258">
        <v>20.7</v>
      </c>
      <c r="T385" s="258">
        <v>20.5</v>
      </c>
      <c r="U385" s="258">
        <v>20.399999999999999</v>
      </c>
      <c r="V385" s="258">
        <v>20.3</v>
      </c>
      <c r="W385" s="258">
        <v>20.3</v>
      </c>
      <c r="X385" s="258">
        <v>20.3</v>
      </c>
      <c r="Y385" s="258">
        <v>20.3</v>
      </c>
      <c r="Z385" s="258">
        <v>20.3</v>
      </c>
    </row>
    <row r="386" spans="1:26" x14ac:dyDescent="0.2">
      <c r="A386" t="s">
        <v>692</v>
      </c>
      <c r="C386" s="139" t="s">
        <v>293</v>
      </c>
      <c r="D386" s="95">
        <f t="shared" si="19"/>
        <v>-2.5740732913479012E-3</v>
      </c>
      <c r="E386" t="s">
        <v>544</v>
      </c>
      <c r="F386" s="95">
        <f t="shared" si="17"/>
        <v>2.5335892514395393E-2</v>
      </c>
      <c r="G386" s="136">
        <f t="shared" si="18"/>
        <v>2314.2499575767861</v>
      </c>
      <c r="H386" s="187">
        <v>47318</v>
      </c>
      <c r="I386" s="89">
        <v>47144</v>
      </c>
      <c r="J386" s="89">
        <v>3430</v>
      </c>
      <c r="K386" s="89">
        <v>3325</v>
      </c>
      <c r="L386" s="89">
        <v>3170</v>
      </c>
      <c r="M386" s="89">
        <v>3100</v>
      </c>
      <c r="N386" s="89">
        <v>109103000</v>
      </c>
      <c r="O386" s="113" t="s">
        <v>293</v>
      </c>
      <c r="P386" s="256">
        <v>47318</v>
      </c>
      <c r="Q386" s="258">
        <v>46.7</v>
      </c>
      <c r="R386" s="258">
        <v>46.6</v>
      </c>
      <c r="S386" s="258">
        <v>46.6</v>
      </c>
      <c r="T386" s="258">
        <v>46.5</v>
      </c>
      <c r="U386" s="258">
        <v>46.5</v>
      </c>
      <c r="V386" s="258">
        <v>46.4</v>
      </c>
      <c r="W386" s="258">
        <v>46.4</v>
      </c>
      <c r="X386" s="258">
        <v>46.3</v>
      </c>
      <c r="Y386" s="258">
        <v>46.2</v>
      </c>
      <c r="Z386" s="258">
        <v>46.1</v>
      </c>
    </row>
    <row r="387" spans="1:26" x14ac:dyDescent="0.2">
      <c r="A387" t="s">
        <v>695</v>
      </c>
      <c r="C387" s="139" t="s">
        <v>239</v>
      </c>
      <c r="D387" s="95">
        <f t="shared" si="19"/>
        <v>-4.8413125336202261E-4</v>
      </c>
      <c r="E387" t="s">
        <v>578</v>
      </c>
      <c r="F387" s="95">
        <f t="shared" ref="F387:F402" si="20">SUM(J387,-M387)/SUM(J387,K387,L387,M387)</f>
        <v>1.5161957270847692E-2</v>
      </c>
      <c r="G387" s="136">
        <f t="shared" si="18"/>
        <v>3175.4354136429606</v>
      </c>
      <c r="H387" s="187">
        <v>22308</v>
      </c>
      <c r="I387" s="89">
        <v>22048</v>
      </c>
      <c r="J387" s="89">
        <v>1875</v>
      </c>
      <c r="K387" s="89">
        <v>1835</v>
      </c>
      <c r="L387" s="89">
        <v>1780</v>
      </c>
      <c r="M387" s="89">
        <v>1765</v>
      </c>
      <c r="N387" s="89">
        <v>70012000</v>
      </c>
      <c r="O387" s="113" t="s">
        <v>239</v>
      </c>
      <c r="P387" s="256">
        <v>22308</v>
      </c>
      <c r="Q387" s="258">
        <v>22.2</v>
      </c>
      <c r="R387" s="258">
        <v>22.3</v>
      </c>
      <c r="S387" s="258">
        <v>22.3</v>
      </c>
      <c r="T387" s="258">
        <v>22.3</v>
      </c>
      <c r="U387" s="258">
        <v>22.2</v>
      </c>
      <c r="V387" s="258">
        <v>22.2</v>
      </c>
      <c r="W387" s="258">
        <v>22.2</v>
      </c>
      <c r="X387" s="258">
        <v>22.2</v>
      </c>
      <c r="Y387" s="258">
        <v>22.2</v>
      </c>
      <c r="Z387" s="258">
        <v>22.2</v>
      </c>
    </row>
    <row r="388" spans="1:26" x14ac:dyDescent="0.2">
      <c r="A388" t="s">
        <v>694</v>
      </c>
      <c r="C388" s="139" t="s">
        <v>420</v>
      </c>
      <c r="D388" s="95">
        <f t="shared" si="19"/>
        <v>-2.5279697454021564E-3</v>
      </c>
      <c r="E388" t="s">
        <v>173</v>
      </c>
      <c r="F388" s="95">
        <f t="shared" si="20"/>
        <v>1.8014411529223378E-2</v>
      </c>
      <c r="G388" s="136">
        <f t="shared" si="18"/>
        <v>2176.5882379379314</v>
      </c>
      <c r="H388" s="187">
        <v>44423</v>
      </c>
      <c r="I388" s="89">
        <v>44499</v>
      </c>
      <c r="J388" s="89">
        <v>3255</v>
      </c>
      <c r="K388" s="89">
        <v>3160</v>
      </c>
      <c r="L388" s="89">
        <v>3045</v>
      </c>
      <c r="M388" s="89">
        <v>3030</v>
      </c>
      <c r="N388" s="89">
        <v>96856000</v>
      </c>
      <c r="O388" s="113" t="s">
        <v>420</v>
      </c>
      <c r="P388" s="256">
        <v>44423</v>
      </c>
      <c r="Q388" s="258">
        <v>44.2</v>
      </c>
      <c r="R388" s="258">
        <v>44.1</v>
      </c>
      <c r="S388" s="258">
        <v>43.9</v>
      </c>
      <c r="T388" s="258">
        <v>43.7</v>
      </c>
      <c r="U388" s="258">
        <v>43.6</v>
      </c>
      <c r="V388" s="258">
        <v>43.5</v>
      </c>
      <c r="W388" s="258">
        <v>43.4</v>
      </c>
      <c r="X388" s="258">
        <v>43.3</v>
      </c>
      <c r="Y388" s="258">
        <v>43.3</v>
      </c>
      <c r="Z388" s="258">
        <v>43.3</v>
      </c>
    </row>
    <row r="389" spans="1:26" x14ac:dyDescent="0.2">
      <c r="A389" t="s">
        <v>695</v>
      </c>
      <c r="C389" s="139" t="s">
        <v>240</v>
      </c>
      <c r="D389" s="95">
        <f t="shared" si="19"/>
        <v>6.4329814777932684E-3</v>
      </c>
      <c r="E389" t="s">
        <v>544</v>
      </c>
      <c r="F389" s="95">
        <f t="shared" si="20"/>
        <v>2.8900071890726096E-2</v>
      </c>
      <c r="G389" s="136">
        <f t="shared" si="18"/>
        <v>2623.4910760571724</v>
      </c>
      <c r="H389" s="187">
        <v>125525</v>
      </c>
      <c r="I389" s="89">
        <v>121527</v>
      </c>
      <c r="J389" s="89">
        <v>9210</v>
      </c>
      <c r="K389" s="89">
        <v>8885</v>
      </c>
      <c r="L389" s="89">
        <v>8475</v>
      </c>
      <c r="M389" s="89">
        <v>8205</v>
      </c>
      <c r="N389" s="89">
        <v>318825000</v>
      </c>
      <c r="O389" s="113" t="s">
        <v>240</v>
      </c>
      <c r="P389" s="256">
        <v>125525</v>
      </c>
      <c r="Q389" s="258">
        <v>125.9</v>
      </c>
      <c r="R389" s="258">
        <v>126.9</v>
      </c>
      <c r="S389" s="258">
        <v>127.8</v>
      </c>
      <c r="T389" s="258">
        <v>128.6</v>
      </c>
      <c r="U389" s="258">
        <v>129.5</v>
      </c>
      <c r="V389" s="258">
        <v>130.5</v>
      </c>
      <c r="W389" s="258">
        <v>131.30000000000001</v>
      </c>
      <c r="X389" s="258">
        <v>132.1</v>
      </c>
      <c r="Y389" s="258">
        <v>132.9</v>
      </c>
      <c r="Z389" s="258">
        <v>133.6</v>
      </c>
    </row>
    <row r="390" spans="1:26" x14ac:dyDescent="0.2">
      <c r="C390" s="139" t="s">
        <v>545</v>
      </c>
      <c r="D390" s="261">
        <f t="shared" si="19"/>
        <v>3.3640750651417234E-3</v>
      </c>
      <c r="E390" t="s">
        <v>173</v>
      </c>
      <c r="F390" s="95">
        <f t="shared" si="20"/>
        <v>2.3201057041411226E-2</v>
      </c>
      <c r="G390" s="136">
        <f t="shared" si="18"/>
        <v>1615.9255563267682</v>
      </c>
      <c r="H390" s="89">
        <f t="shared" ref="H390:N390" si="21">SUM(H2:H389)</f>
        <v>17089690</v>
      </c>
      <c r="I390" s="89">
        <f t="shared" si="21"/>
        <v>16744340</v>
      </c>
      <c r="J390" s="89">
        <f t="shared" si="21"/>
        <v>1470285</v>
      </c>
      <c r="K390" s="89">
        <f t="shared" si="21"/>
        <v>1417645</v>
      </c>
      <c r="L390" s="89">
        <f t="shared" si="21"/>
        <v>1360645</v>
      </c>
      <c r="M390" s="89">
        <f t="shared" si="21"/>
        <v>1340610</v>
      </c>
      <c r="N390" s="89">
        <f t="shared" si="21"/>
        <v>27057606929.824558</v>
      </c>
      <c r="P390" s="89">
        <f t="shared" ref="P390:Z390" si="22">SUM(P2:P389)</f>
        <v>17089690</v>
      </c>
      <c r="Q390" s="89">
        <f t="shared" si="22"/>
        <v>17086.700000000015</v>
      </c>
      <c r="R390" s="89">
        <f t="shared" si="22"/>
        <v>17195.099999999999</v>
      </c>
      <c r="S390" s="89">
        <f t="shared" si="22"/>
        <v>17273.100000000006</v>
      </c>
      <c r="T390" s="89">
        <f t="shared" si="22"/>
        <v>17338.400000000009</v>
      </c>
      <c r="U390" s="89">
        <f t="shared" si="22"/>
        <v>17398.499999999993</v>
      </c>
      <c r="V390" s="89">
        <f t="shared" si="22"/>
        <v>17459.200000000008</v>
      </c>
      <c r="W390" s="89">
        <f t="shared" si="22"/>
        <v>17513.600000000006</v>
      </c>
      <c r="X390" s="89">
        <f t="shared" si="22"/>
        <v>17566.599999999988</v>
      </c>
      <c r="Y390" s="89">
        <f t="shared" si="22"/>
        <v>17615.900000000001</v>
      </c>
      <c r="Z390" s="89">
        <f t="shared" si="22"/>
        <v>17664.60000000002</v>
      </c>
    </row>
    <row r="391" spans="1:26" x14ac:dyDescent="0.2">
      <c r="C391" s="139" t="s">
        <v>703</v>
      </c>
      <c r="D391" s="95">
        <f t="shared" si="19"/>
        <v>1.7846586187102137E-3</v>
      </c>
      <c r="E391" t="s">
        <v>173</v>
      </c>
      <c r="F391" s="95">
        <f t="shared" si="20"/>
        <v>2.096177558569667E-2</v>
      </c>
      <c r="G391" s="136">
        <f t="shared" ref="G391:G402" si="23">N391/I391</f>
        <v>2011.5584247901872</v>
      </c>
      <c r="H391" s="89">
        <f t="shared" ref="H391:N391" si="24">SUMIF($A$2:$A$389,"GR",H2:H389)</f>
        <v>583585</v>
      </c>
      <c r="I391" s="89">
        <f t="shared" si="24"/>
        <v>580875</v>
      </c>
      <c r="J391" s="89">
        <f t="shared" si="24"/>
        <v>42505</v>
      </c>
      <c r="K391" s="89">
        <f t="shared" si="24"/>
        <v>41010</v>
      </c>
      <c r="L391" s="89">
        <f t="shared" si="24"/>
        <v>39580</v>
      </c>
      <c r="M391" s="89">
        <f t="shared" si="24"/>
        <v>39105</v>
      </c>
      <c r="N391" s="89">
        <f t="shared" si="24"/>
        <v>1168464000</v>
      </c>
      <c r="P391" s="89">
        <f t="shared" ref="P391:Z391" si="25">SUMIF($A$2:$A$389,"GR",P2:P389)</f>
        <v>583585</v>
      </c>
      <c r="Q391" s="89">
        <f t="shared" si="25"/>
        <v>590.99999999999977</v>
      </c>
      <c r="R391" s="89">
        <f t="shared" si="25"/>
        <v>595.09999999999991</v>
      </c>
      <c r="S391" s="89">
        <f t="shared" si="25"/>
        <v>595.79999999999995</v>
      </c>
      <c r="T391" s="89">
        <f t="shared" si="25"/>
        <v>595.4</v>
      </c>
      <c r="U391" s="89">
        <f t="shared" si="25"/>
        <v>595.20000000000005</v>
      </c>
      <c r="V391" s="89">
        <f t="shared" si="25"/>
        <v>595.39999999999986</v>
      </c>
      <c r="W391" s="89">
        <f t="shared" si="25"/>
        <v>595.30000000000007</v>
      </c>
      <c r="X391" s="89">
        <f t="shared" si="25"/>
        <v>594.9</v>
      </c>
      <c r="Y391" s="89">
        <f t="shared" si="25"/>
        <v>594.6</v>
      </c>
      <c r="Z391" s="89">
        <f t="shared" si="25"/>
        <v>594</v>
      </c>
    </row>
    <row r="392" spans="1:26" x14ac:dyDescent="0.2">
      <c r="C392" s="139" t="s">
        <v>598</v>
      </c>
      <c r="D392" s="95">
        <f t="shared" si="19"/>
        <v>7.2249376281058417E-4</v>
      </c>
      <c r="E392" t="s">
        <v>173</v>
      </c>
      <c r="F392" s="95">
        <f t="shared" si="20"/>
        <v>2.0257782684876269E-2</v>
      </c>
      <c r="G392" s="136">
        <f t="shared" si="23"/>
        <v>1667.0466489052483</v>
      </c>
      <c r="H392" s="89">
        <f t="shared" ref="H392:N392" si="26">SUMIF($A$2:$A$389,"FR",H2:H389)</f>
        <v>646926</v>
      </c>
      <c r="I392" s="89">
        <f t="shared" si="26"/>
        <v>647214</v>
      </c>
      <c r="J392" s="89">
        <f t="shared" si="26"/>
        <v>54460</v>
      </c>
      <c r="K392" s="89">
        <f t="shared" si="26"/>
        <v>52680</v>
      </c>
      <c r="L392" s="89">
        <f t="shared" si="26"/>
        <v>50935</v>
      </c>
      <c r="M392" s="89">
        <f t="shared" si="26"/>
        <v>50240</v>
      </c>
      <c r="N392" s="89">
        <f t="shared" si="26"/>
        <v>1078935929.8245614</v>
      </c>
      <c r="P392" s="89">
        <f t="shared" ref="P392:Z392" si="27">SUMIF($A$2:$A$389,"FR",P2:P389)</f>
        <v>646926</v>
      </c>
      <c r="Q392" s="89">
        <f t="shared" si="27"/>
        <v>648</v>
      </c>
      <c r="R392" s="89">
        <f t="shared" si="27"/>
        <v>649</v>
      </c>
      <c r="S392" s="89">
        <f t="shared" si="27"/>
        <v>649.40000000000009</v>
      </c>
      <c r="T392" s="89">
        <f t="shared" si="27"/>
        <v>650.1</v>
      </c>
      <c r="U392" s="89">
        <f t="shared" si="27"/>
        <v>650.49999999999989</v>
      </c>
      <c r="V392" s="89">
        <f t="shared" si="27"/>
        <v>650.99999999999989</v>
      </c>
      <c r="W392" s="89">
        <f t="shared" si="27"/>
        <v>651.20000000000005</v>
      </c>
      <c r="X392" s="89">
        <f t="shared" si="27"/>
        <v>651.30000000000007</v>
      </c>
      <c r="Y392" s="89">
        <f t="shared" si="27"/>
        <v>651.30000000000007</v>
      </c>
      <c r="Z392" s="89">
        <f t="shared" si="27"/>
        <v>651.6</v>
      </c>
    </row>
    <row r="393" spans="1:26" x14ac:dyDescent="0.2">
      <c r="C393" s="139" t="s">
        <v>704</v>
      </c>
      <c r="D393" s="95">
        <f t="shared" si="19"/>
        <v>-1.0450480638338098E-3</v>
      </c>
      <c r="E393" t="s">
        <v>173</v>
      </c>
      <c r="F393" s="95">
        <f t="shared" si="20"/>
        <v>2.0775026910656622E-2</v>
      </c>
      <c r="G393" s="136">
        <f t="shared" si="23"/>
        <v>1753.046433664091</v>
      </c>
      <c r="H393" s="89">
        <f t="shared" ref="H393:N393" si="28">SUMIF($A$2:$A$389,"DR",H2:H389)</f>
        <v>477490</v>
      </c>
      <c r="I393" s="89">
        <f t="shared" si="28"/>
        <v>475474</v>
      </c>
      <c r="J393" s="89">
        <f t="shared" si="28"/>
        <v>36425</v>
      </c>
      <c r="K393" s="89">
        <f t="shared" si="28"/>
        <v>35280</v>
      </c>
      <c r="L393" s="89">
        <f t="shared" si="28"/>
        <v>34115</v>
      </c>
      <c r="M393" s="89">
        <f t="shared" si="28"/>
        <v>33530</v>
      </c>
      <c r="N393" s="89">
        <f t="shared" si="28"/>
        <v>833528000</v>
      </c>
      <c r="P393" s="89">
        <f t="shared" ref="P393:Z393" si="29">SUMIF($A$2:$A$389,"DR",P2:P389)</f>
        <v>477490</v>
      </c>
      <c r="Q393" s="89">
        <f t="shared" si="29"/>
        <v>477.00000000000006</v>
      </c>
      <c r="R393" s="89">
        <f t="shared" si="29"/>
        <v>477.30000000000007</v>
      </c>
      <c r="S393" s="89">
        <f t="shared" si="29"/>
        <v>476.7</v>
      </c>
      <c r="T393" s="89">
        <f t="shared" si="29"/>
        <v>476.40000000000003</v>
      </c>
      <c r="U393" s="89">
        <f t="shared" si="29"/>
        <v>475.69999999999993</v>
      </c>
      <c r="V393" s="89">
        <f t="shared" si="29"/>
        <v>475.2</v>
      </c>
      <c r="W393" s="89">
        <f t="shared" si="29"/>
        <v>474.5</v>
      </c>
      <c r="X393" s="89">
        <f t="shared" si="29"/>
        <v>473.70000000000005</v>
      </c>
      <c r="Y393" s="89">
        <f t="shared" si="29"/>
        <v>473</v>
      </c>
      <c r="Z393" s="89">
        <f t="shared" si="29"/>
        <v>472.49999999999994</v>
      </c>
    </row>
    <row r="394" spans="1:26" x14ac:dyDescent="0.2">
      <c r="C394" s="139" t="s">
        <v>705</v>
      </c>
      <c r="D394" s="95">
        <f t="shared" si="19"/>
        <v>1.3857547754690966E-3</v>
      </c>
      <c r="E394" t="s">
        <v>173</v>
      </c>
      <c r="F394" s="95">
        <f t="shared" si="20"/>
        <v>2.1215495516614898E-2</v>
      </c>
      <c r="G394" s="136">
        <f t="shared" si="23"/>
        <v>2002.5081058885246</v>
      </c>
      <c r="H394" s="89">
        <f t="shared" ref="H394:N394" si="30">SUMIF($A$2:$A$389,"OV",H2:H389)</f>
        <v>1159729</v>
      </c>
      <c r="I394" s="89">
        <f t="shared" si="30"/>
        <v>1149473</v>
      </c>
      <c r="J394" s="89">
        <f t="shared" si="30"/>
        <v>89310</v>
      </c>
      <c r="K394" s="89">
        <f t="shared" si="30"/>
        <v>86515</v>
      </c>
      <c r="L394" s="89">
        <f t="shared" si="30"/>
        <v>83365</v>
      </c>
      <c r="M394" s="89">
        <f t="shared" si="30"/>
        <v>82070</v>
      </c>
      <c r="N394" s="89">
        <f t="shared" si="30"/>
        <v>2301829000</v>
      </c>
      <c r="P394" s="89">
        <f t="shared" ref="P394:Z394" si="31">SUMIF($A$2:$A$389,"OV",P2:P389)</f>
        <v>1159729</v>
      </c>
      <c r="Q394" s="89">
        <f t="shared" si="31"/>
        <v>1159.5999999999999</v>
      </c>
      <c r="R394" s="89">
        <f t="shared" si="31"/>
        <v>1163.5000000000002</v>
      </c>
      <c r="S394" s="89">
        <f t="shared" si="31"/>
        <v>1165.4999999999998</v>
      </c>
      <c r="T394" s="89">
        <f t="shared" si="31"/>
        <v>1167.5999999999997</v>
      </c>
      <c r="U394" s="89">
        <f t="shared" si="31"/>
        <v>1169.3</v>
      </c>
      <c r="V394" s="89">
        <f t="shared" si="31"/>
        <v>1171.3000000000002</v>
      </c>
      <c r="W394" s="89">
        <f t="shared" si="31"/>
        <v>1172.2</v>
      </c>
      <c r="X394" s="89">
        <f t="shared" si="31"/>
        <v>1173.5999999999999</v>
      </c>
      <c r="Y394" s="89">
        <f t="shared" si="31"/>
        <v>1174.7</v>
      </c>
      <c r="Z394" s="89">
        <f t="shared" si="31"/>
        <v>1175.8</v>
      </c>
    </row>
    <row r="395" spans="1:26" x14ac:dyDescent="0.2">
      <c r="C395" s="139" t="s">
        <v>706</v>
      </c>
      <c r="D395" s="95">
        <f t="shared" si="19"/>
        <v>6.8876331498755839E-3</v>
      </c>
      <c r="E395" t="s">
        <v>173</v>
      </c>
      <c r="F395" s="95">
        <f t="shared" si="20"/>
        <v>2.5547591398710608E-2</v>
      </c>
      <c r="G395" s="136">
        <f t="shared" si="23"/>
        <v>1619.6346627899627</v>
      </c>
      <c r="H395" s="89">
        <f t="shared" ref="H395:N395" si="32">SUMIF($A$2:$A$389,"FL",H2:H389)</f>
        <v>407905</v>
      </c>
      <c r="I395" s="89">
        <f t="shared" si="32"/>
        <v>395525</v>
      </c>
      <c r="J395" s="89">
        <f t="shared" si="32"/>
        <v>32980</v>
      </c>
      <c r="K395" s="89">
        <f t="shared" si="32"/>
        <v>31745</v>
      </c>
      <c r="L395" s="89">
        <f t="shared" si="32"/>
        <v>30350</v>
      </c>
      <c r="M395" s="89">
        <f t="shared" si="32"/>
        <v>29790</v>
      </c>
      <c r="N395" s="89">
        <f t="shared" si="32"/>
        <v>640606000</v>
      </c>
      <c r="P395" s="89">
        <f t="shared" ref="P395:Z395" si="33">SUMIF($A$2:$A$389,"FL",P2:P389)</f>
        <v>407905</v>
      </c>
      <c r="Q395" s="89">
        <f t="shared" si="33"/>
        <v>409.2</v>
      </c>
      <c r="R395" s="89">
        <f t="shared" si="33"/>
        <v>413.4</v>
      </c>
      <c r="S395" s="89">
        <f t="shared" si="33"/>
        <v>416.5</v>
      </c>
      <c r="T395" s="89">
        <f t="shared" si="33"/>
        <v>419.4</v>
      </c>
      <c r="U395" s="89">
        <f t="shared" si="33"/>
        <v>422.1</v>
      </c>
      <c r="V395" s="89">
        <f t="shared" si="33"/>
        <v>425.1</v>
      </c>
      <c r="W395" s="89">
        <f t="shared" si="33"/>
        <v>427.8</v>
      </c>
      <c r="X395" s="89">
        <f t="shared" si="33"/>
        <v>430.5</v>
      </c>
      <c r="Y395" s="89">
        <f t="shared" si="33"/>
        <v>433.09999999999997</v>
      </c>
      <c r="Z395" s="89">
        <f t="shared" si="33"/>
        <v>436</v>
      </c>
    </row>
    <row r="396" spans="1:26" x14ac:dyDescent="0.2">
      <c r="C396" s="139" t="s">
        <v>707</v>
      </c>
      <c r="D396" s="95">
        <f t="shared" si="19"/>
        <v>1.2289015000938931E-3</v>
      </c>
      <c r="E396" t="s">
        <v>173</v>
      </c>
      <c r="F396" s="95">
        <f t="shared" si="20"/>
        <v>2.2219677887184184E-2</v>
      </c>
      <c r="G396" s="136">
        <f t="shared" si="23"/>
        <v>1683.5602760073323</v>
      </c>
      <c r="H396" s="89">
        <f t="shared" ref="H396:N396" si="34">SUMIF($A$2:$A$389,"GLD",H2:H389)</f>
        <v>2050205</v>
      </c>
      <c r="I396" s="89">
        <f t="shared" si="34"/>
        <v>2012990</v>
      </c>
      <c r="J396" s="89">
        <f t="shared" si="34"/>
        <v>171720</v>
      </c>
      <c r="K396" s="89">
        <f t="shared" si="34"/>
        <v>166240</v>
      </c>
      <c r="L396" s="89">
        <f t="shared" si="34"/>
        <v>159925</v>
      </c>
      <c r="M396" s="89">
        <f t="shared" si="34"/>
        <v>157165</v>
      </c>
      <c r="N396" s="89">
        <f t="shared" si="34"/>
        <v>3388990000</v>
      </c>
      <c r="P396" s="89">
        <f t="shared" ref="P396:Z396" si="35">SUMIF($A$2:$A$389,"GLD",P2:P389)</f>
        <v>2050205</v>
      </c>
      <c r="Q396" s="89">
        <f t="shared" si="35"/>
        <v>2042.9</v>
      </c>
      <c r="R396" s="89">
        <f t="shared" si="35"/>
        <v>2049.6</v>
      </c>
      <c r="S396" s="89">
        <f t="shared" si="35"/>
        <v>2053.3999999999996</v>
      </c>
      <c r="T396" s="89">
        <f t="shared" si="35"/>
        <v>2056.3999999999996</v>
      </c>
      <c r="U396" s="89">
        <f t="shared" si="35"/>
        <v>2060.1999999999998</v>
      </c>
      <c r="V396" s="89">
        <f t="shared" si="35"/>
        <v>2063.7999999999997</v>
      </c>
      <c r="W396" s="89">
        <f t="shared" si="35"/>
        <v>2067.1999999999998</v>
      </c>
      <c r="X396" s="89">
        <f t="shared" si="35"/>
        <v>2069.9</v>
      </c>
      <c r="Y396" s="89">
        <f t="shared" si="35"/>
        <v>2072.5999999999995</v>
      </c>
      <c r="Z396" s="89">
        <f t="shared" si="35"/>
        <v>2075.4</v>
      </c>
    </row>
    <row r="397" spans="1:26" x14ac:dyDescent="0.2">
      <c r="C397" s="139" t="s">
        <v>716</v>
      </c>
      <c r="D397" s="95">
        <f t="shared" si="19"/>
        <v>5.8549936026362839E-3</v>
      </c>
      <c r="E397" t="s">
        <v>544</v>
      </c>
      <c r="F397" s="95">
        <f t="shared" si="20"/>
        <v>2.594994361065325E-2</v>
      </c>
      <c r="G397" s="136">
        <f t="shared" si="23"/>
        <v>1205.0123316349836</v>
      </c>
      <c r="H397" s="89">
        <f t="shared" ref="H397:N397" si="36">SUMIF($A$2:$A$389,"UT",H2:H389)</f>
        <v>1298191</v>
      </c>
      <c r="I397" s="89">
        <f t="shared" si="36"/>
        <v>1250037</v>
      </c>
      <c r="J397" s="89">
        <f t="shared" si="36"/>
        <v>121950</v>
      </c>
      <c r="K397" s="89">
        <f t="shared" si="36"/>
        <v>117175</v>
      </c>
      <c r="L397" s="89">
        <f t="shared" si="36"/>
        <v>111970</v>
      </c>
      <c r="M397" s="89">
        <f t="shared" si="36"/>
        <v>109985</v>
      </c>
      <c r="N397" s="89">
        <f t="shared" si="36"/>
        <v>1506310000</v>
      </c>
      <c r="P397" s="89">
        <f t="shared" ref="P397:Z397" si="37">SUMIF($A$2:$A$389,"UT",P2:P389)</f>
        <v>1298191</v>
      </c>
      <c r="Q397" s="89">
        <f t="shared" si="37"/>
        <v>1297.2</v>
      </c>
      <c r="R397" s="89">
        <f t="shared" si="37"/>
        <v>1309.2</v>
      </c>
      <c r="S397" s="89">
        <f t="shared" si="37"/>
        <v>1319.2000000000003</v>
      </c>
      <c r="T397" s="89">
        <f t="shared" si="37"/>
        <v>1328.1999999999998</v>
      </c>
      <c r="U397" s="89">
        <f t="shared" si="37"/>
        <v>1336.7000000000003</v>
      </c>
      <c r="V397" s="89">
        <f t="shared" si="37"/>
        <v>1344.3</v>
      </c>
      <c r="W397" s="89">
        <f t="shared" si="37"/>
        <v>1351.6</v>
      </c>
      <c r="X397" s="89">
        <f t="shared" si="37"/>
        <v>1359.4999999999998</v>
      </c>
      <c r="Y397" s="89">
        <f t="shared" si="37"/>
        <v>1366.9000000000003</v>
      </c>
      <c r="Z397" s="89">
        <f t="shared" si="37"/>
        <v>1374.2</v>
      </c>
    </row>
    <row r="398" spans="1:26" x14ac:dyDescent="0.2">
      <c r="C398" s="139" t="s">
        <v>708</v>
      </c>
      <c r="D398" s="95">
        <f t="shared" si="19"/>
        <v>5.9488840443427254E-3</v>
      </c>
      <c r="E398" t="s">
        <v>544</v>
      </c>
      <c r="F398" s="95">
        <f t="shared" si="20"/>
        <v>2.821359135506624E-2</v>
      </c>
      <c r="G398" s="136">
        <f t="shared" si="23"/>
        <v>2168.4701833259101</v>
      </c>
      <c r="H398" s="89">
        <f t="shared" ref="H398:N398" si="38">SUMIF($A$2:$A$389,"NH",H2:H389)</f>
        <v>2836179</v>
      </c>
      <c r="I398" s="89">
        <f t="shared" si="38"/>
        <v>2732347</v>
      </c>
      <c r="J398" s="89">
        <f t="shared" si="38"/>
        <v>294435</v>
      </c>
      <c r="K398" s="89">
        <f t="shared" si="38"/>
        <v>281185</v>
      </c>
      <c r="L398" s="89">
        <f t="shared" si="38"/>
        <v>266995</v>
      </c>
      <c r="M398" s="89">
        <f t="shared" si="38"/>
        <v>263235</v>
      </c>
      <c r="N398" s="89">
        <f t="shared" si="38"/>
        <v>5925013000</v>
      </c>
      <c r="P398" s="89">
        <f t="shared" ref="P398:Z398" si="39">SUMIF($A$2:$A$389,"NH",P2:P389)</f>
        <v>2836179</v>
      </c>
      <c r="Q398" s="89">
        <f t="shared" si="39"/>
        <v>2831.3</v>
      </c>
      <c r="R398" s="89">
        <f t="shared" si="39"/>
        <v>2859.9</v>
      </c>
      <c r="S398" s="89">
        <f t="shared" si="39"/>
        <v>2883.2000000000003</v>
      </c>
      <c r="T398" s="89">
        <f t="shared" si="39"/>
        <v>2902.2</v>
      </c>
      <c r="U398" s="89">
        <f t="shared" si="39"/>
        <v>2920.1000000000013</v>
      </c>
      <c r="V398" s="89">
        <f t="shared" si="39"/>
        <v>2937.3</v>
      </c>
      <c r="W398" s="89">
        <f t="shared" si="39"/>
        <v>2954.3000000000006</v>
      </c>
      <c r="X398" s="89">
        <f t="shared" si="39"/>
        <v>2971.4000000000005</v>
      </c>
      <c r="Y398" s="89">
        <f t="shared" si="39"/>
        <v>2988.6000000000013</v>
      </c>
      <c r="Z398" s="89">
        <f t="shared" si="39"/>
        <v>3004.8999999999992</v>
      </c>
    </row>
    <row r="399" spans="1:26" x14ac:dyDescent="0.2">
      <c r="C399" s="139" t="s">
        <v>709</v>
      </c>
      <c r="D399" s="95">
        <f t="shared" si="19"/>
        <v>4.5557128674192631E-3</v>
      </c>
      <c r="E399" t="s">
        <v>544</v>
      </c>
      <c r="F399" s="95">
        <f t="shared" si="20"/>
        <v>2.4575720210738707E-2</v>
      </c>
      <c r="G399" s="136">
        <f t="shared" si="23"/>
        <v>1581.4672118546971</v>
      </c>
      <c r="H399" s="89">
        <f t="shared" ref="H399:N399" si="40">SUMIF($A$2:$A$389,"ZH",H2:H389)</f>
        <v>3617019</v>
      </c>
      <c r="I399" s="89">
        <f t="shared" si="40"/>
        <v>3532237</v>
      </c>
      <c r="J399" s="89">
        <f t="shared" si="40"/>
        <v>294150</v>
      </c>
      <c r="K399" s="89">
        <f t="shared" si="40"/>
        <v>282685</v>
      </c>
      <c r="L399" s="89">
        <f t="shared" si="40"/>
        <v>271545</v>
      </c>
      <c r="M399" s="89">
        <f t="shared" si="40"/>
        <v>266745</v>
      </c>
      <c r="N399" s="89">
        <f t="shared" si="40"/>
        <v>5586117000</v>
      </c>
      <c r="P399" s="89">
        <f t="shared" ref="P399:Z399" si="41">SUMIF($A$2:$A$389,"ZH",P2:P389)</f>
        <v>3617019</v>
      </c>
      <c r="Q399" s="89">
        <f t="shared" si="41"/>
        <v>3611.9999999999995</v>
      </c>
      <c r="R399" s="89">
        <f t="shared" si="41"/>
        <v>3641.1</v>
      </c>
      <c r="S399" s="89">
        <f t="shared" si="41"/>
        <v>3663.3</v>
      </c>
      <c r="T399" s="89">
        <f t="shared" si="41"/>
        <v>3681.7</v>
      </c>
      <c r="U399" s="89">
        <f t="shared" si="41"/>
        <v>3700.3999999999992</v>
      </c>
      <c r="V399" s="89">
        <f t="shared" si="41"/>
        <v>3719.7999999999997</v>
      </c>
      <c r="W399" s="89">
        <f t="shared" si="41"/>
        <v>3737.0999999999995</v>
      </c>
      <c r="X399" s="89">
        <f t="shared" si="41"/>
        <v>3753.2</v>
      </c>
      <c r="Y399" s="89">
        <f t="shared" si="41"/>
        <v>3767.8999999999992</v>
      </c>
      <c r="Z399" s="89">
        <f t="shared" si="41"/>
        <v>3781.7999999999997</v>
      </c>
    </row>
    <row r="400" spans="1:26" x14ac:dyDescent="0.2">
      <c r="C400" s="139" t="s">
        <v>710</v>
      </c>
      <c r="D400" s="95">
        <f t="shared" si="19"/>
        <v>-4.8825488844568267E-4</v>
      </c>
      <c r="E400" t="s">
        <v>173</v>
      </c>
      <c r="F400" s="95">
        <f t="shared" si="20"/>
        <v>1.7360096815924549E-2</v>
      </c>
      <c r="G400" s="136">
        <f t="shared" si="23"/>
        <v>2569.4310801846846</v>
      </c>
      <c r="H400" s="89">
        <f t="shared" ref="H400:N400" si="42">SUMIF($A$2:$A$389,"ZL",H2:H389)</f>
        <v>381563</v>
      </c>
      <c r="I400" s="89">
        <f t="shared" si="42"/>
        <v>381407</v>
      </c>
      <c r="J400" s="89">
        <f t="shared" si="42"/>
        <v>31130</v>
      </c>
      <c r="K400" s="89">
        <f t="shared" si="42"/>
        <v>30305</v>
      </c>
      <c r="L400" s="89">
        <f t="shared" si="42"/>
        <v>29330</v>
      </c>
      <c r="M400" s="89">
        <f t="shared" si="42"/>
        <v>29050</v>
      </c>
      <c r="N400" s="89">
        <f t="shared" si="42"/>
        <v>979999000</v>
      </c>
      <c r="P400" s="89">
        <f t="shared" ref="P400:Z400" si="43">SUMIF($A$2:$A$389,"ZL",P2:P389)</f>
        <v>381563</v>
      </c>
      <c r="Q400" s="89">
        <f t="shared" si="43"/>
        <v>381.1</v>
      </c>
      <c r="R400" s="89">
        <f t="shared" si="43"/>
        <v>381.6</v>
      </c>
      <c r="S400" s="89">
        <f t="shared" si="43"/>
        <v>381.8</v>
      </c>
      <c r="T400" s="89">
        <f t="shared" si="43"/>
        <v>381.9</v>
      </c>
      <c r="U400" s="89">
        <f t="shared" si="43"/>
        <v>381.5</v>
      </c>
      <c r="V400" s="89">
        <f t="shared" si="43"/>
        <v>381.40000000000003</v>
      </c>
      <c r="W400" s="89">
        <f t="shared" si="43"/>
        <v>381</v>
      </c>
      <c r="X400" s="89">
        <f t="shared" si="43"/>
        <v>380.59999999999997</v>
      </c>
      <c r="Y400" s="89">
        <f t="shared" si="43"/>
        <v>380.19999999999993</v>
      </c>
      <c r="Z400" s="89">
        <f t="shared" si="43"/>
        <v>379.7</v>
      </c>
    </row>
    <row r="401" spans="1:26" x14ac:dyDescent="0.2">
      <c r="C401" s="139" t="s">
        <v>711</v>
      </c>
      <c r="D401" s="95">
        <f t="shared" si="19"/>
        <v>3.7255307541662589E-3</v>
      </c>
      <c r="E401" t="s">
        <v>544</v>
      </c>
      <c r="F401" s="95">
        <f t="shared" si="20"/>
        <v>1.9770878419288897E-2</v>
      </c>
      <c r="G401" s="136">
        <f t="shared" si="23"/>
        <v>1114.2595579401261</v>
      </c>
      <c r="H401" s="89">
        <f t="shared" ref="H401:N401" si="44">SUMIF($A$2:$A$389,"NB",H2:H389)</f>
        <v>2480103</v>
      </c>
      <c r="I401" s="89">
        <f t="shared" si="44"/>
        <v>2430440</v>
      </c>
      <c r="J401" s="89">
        <f t="shared" si="44"/>
        <v>217840</v>
      </c>
      <c r="K401" s="89">
        <f t="shared" si="44"/>
        <v>211595</v>
      </c>
      <c r="L401" s="89">
        <f t="shared" si="44"/>
        <v>203270</v>
      </c>
      <c r="M401" s="89">
        <f t="shared" si="44"/>
        <v>201350</v>
      </c>
      <c r="N401" s="89">
        <f t="shared" si="44"/>
        <v>2708141000</v>
      </c>
      <c r="P401" s="89">
        <f t="shared" ref="P401:Z401" si="45">SUMIF($A$2:$A$389,"NB",P2:P389)</f>
        <v>2480103</v>
      </c>
      <c r="Q401" s="89">
        <f t="shared" si="45"/>
        <v>2484.2999999999984</v>
      </c>
      <c r="R401" s="89">
        <f t="shared" si="45"/>
        <v>2500.7000000000003</v>
      </c>
      <c r="S401" s="89">
        <f t="shared" si="45"/>
        <v>2513.2999999999997</v>
      </c>
      <c r="T401" s="89">
        <f t="shared" si="45"/>
        <v>2525.1000000000004</v>
      </c>
      <c r="U401" s="89">
        <f t="shared" si="45"/>
        <v>2534.6000000000008</v>
      </c>
      <c r="V401" s="89">
        <f t="shared" si="45"/>
        <v>2543.7999999999997</v>
      </c>
      <c r="W401" s="89">
        <f t="shared" si="45"/>
        <v>2551.4000000000005</v>
      </c>
      <c r="X401" s="89">
        <f t="shared" si="45"/>
        <v>2559.3000000000011</v>
      </c>
      <c r="Y401" s="89">
        <f t="shared" si="45"/>
        <v>2565.5</v>
      </c>
      <c r="Z401" s="89">
        <f t="shared" si="45"/>
        <v>2572.5</v>
      </c>
    </row>
    <row r="402" spans="1:26" x14ac:dyDescent="0.2">
      <c r="C402" s="139" t="s">
        <v>712</v>
      </c>
      <c r="D402" s="95">
        <f t="shared" si="19"/>
        <v>-3.9928918704026348E-4</v>
      </c>
      <c r="E402" t="s">
        <v>173</v>
      </c>
      <c r="F402" s="95">
        <f t="shared" si="20"/>
        <v>1.5625969834274719E-2</v>
      </c>
      <c r="G402" s="136">
        <f t="shared" si="23"/>
        <v>812.64112646920705</v>
      </c>
      <c r="H402" s="89">
        <f t="shared" ref="H402:N402" si="46">SUMIF($A$2:$A$389,"LB",H2:H389)</f>
        <v>1150795</v>
      </c>
      <c r="I402" s="89">
        <f t="shared" si="46"/>
        <v>1156321</v>
      </c>
      <c r="J402" s="89">
        <f t="shared" si="46"/>
        <v>83380</v>
      </c>
      <c r="K402" s="89">
        <f t="shared" si="46"/>
        <v>81230</v>
      </c>
      <c r="L402" s="89">
        <f t="shared" si="46"/>
        <v>79265</v>
      </c>
      <c r="M402" s="89">
        <f t="shared" si="46"/>
        <v>78345</v>
      </c>
      <c r="N402" s="89">
        <f t="shared" si="46"/>
        <v>939674000</v>
      </c>
      <c r="P402" s="89">
        <f t="shared" ref="P402:Z402" si="47">SUMIF($A$2:$A$389,"LB",P2:P389)</f>
        <v>1150795</v>
      </c>
      <c r="Q402" s="89">
        <f t="shared" si="47"/>
        <v>1153.1000000000001</v>
      </c>
      <c r="R402" s="89">
        <f t="shared" si="47"/>
        <v>1154.6999999999996</v>
      </c>
      <c r="S402" s="89">
        <f t="shared" si="47"/>
        <v>1155</v>
      </c>
      <c r="T402" s="89">
        <f t="shared" si="47"/>
        <v>1154.0000000000002</v>
      </c>
      <c r="U402" s="89">
        <f t="shared" si="47"/>
        <v>1152.1999999999998</v>
      </c>
      <c r="V402" s="89">
        <f t="shared" si="47"/>
        <v>1150.8000000000002</v>
      </c>
      <c r="W402" s="89">
        <f t="shared" si="47"/>
        <v>1150.0000000000002</v>
      </c>
      <c r="X402" s="89">
        <f t="shared" si="47"/>
        <v>1148.7</v>
      </c>
      <c r="Y402" s="89">
        <f t="shared" si="47"/>
        <v>1147.5000000000005</v>
      </c>
      <c r="Z402" s="89">
        <f t="shared" si="47"/>
        <v>1146.2</v>
      </c>
    </row>
    <row r="403" spans="1:26" x14ac:dyDescent="0.2">
      <c r="D403" s="95"/>
      <c r="F403" s="95"/>
      <c r="G403" s="95"/>
      <c r="H403" s="187"/>
      <c r="T403" s="258"/>
    </row>
    <row r="404" spans="1:26" x14ac:dyDescent="0.2">
      <c r="D404" s="95"/>
      <c r="F404" s="95"/>
      <c r="G404" s="95"/>
      <c r="H404" s="89"/>
      <c r="T404" s="258"/>
    </row>
    <row r="405" spans="1:26" x14ac:dyDescent="0.2">
      <c r="T405" s="258"/>
    </row>
    <row r="406" spans="1:26" x14ac:dyDescent="0.2">
      <c r="D406" s="95"/>
      <c r="F406" s="95"/>
      <c r="G406" s="95"/>
      <c r="H406" s="187"/>
      <c r="T406" s="258"/>
    </row>
    <row r="407" spans="1:26" x14ac:dyDescent="0.2">
      <c r="D407" s="95"/>
      <c r="F407" s="95"/>
      <c r="G407" s="95"/>
      <c r="H407" s="187"/>
      <c r="T407" s="258"/>
    </row>
    <row r="408" spans="1:26" x14ac:dyDescent="0.2">
      <c r="D408" s="95"/>
      <c r="F408" s="95"/>
      <c r="G408" s="95"/>
      <c r="H408" s="187"/>
      <c r="T408" s="258"/>
    </row>
    <row r="409" spans="1:26" x14ac:dyDescent="0.2">
      <c r="A409" s="99" t="s">
        <v>685</v>
      </c>
      <c r="B409" s="99" t="s">
        <v>686</v>
      </c>
      <c r="C409" s="139" t="s">
        <v>713</v>
      </c>
      <c r="D409" s="91" t="s">
        <v>814</v>
      </c>
      <c r="E409" s="91" t="s">
        <v>815</v>
      </c>
      <c r="F409" s="91" t="s">
        <v>816</v>
      </c>
      <c r="G409" s="136" t="s">
        <v>817</v>
      </c>
      <c r="H409" s="91" t="s">
        <v>818</v>
      </c>
      <c r="I409" s="91" t="s">
        <v>819</v>
      </c>
      <c r="J409" s="91" t="s">
        <v>820</v>
      </c>
      <c r="K409" s="100" t="s">
        <v>821</v>
      </c>
      <c r="L409" s="100" t="s">
        <v>822</v>
      </c>
      <c r="M409" s="91" t="s">
        <v>823</v>
      </c>
      <c r="N409" s="91" t="s">
        <v>824</v>
      </c>
      <c r="O409" s="91" t="s">
        <v>825</v>
      </c>
      <c r="P409" s="260">
        <v>2016</v>
      </c>
      <c r="Q409" s="262" t="s">
        <v>802</v>
      </c>
      <c r="R409" s="262" t="s">
        <v>803</v>
      </c>
      <c r="S409" s="262" t="s">
        <v>804</v>
      </c>
      <c r="T409" s="262" t="s">
        <v>805</v>
      </c>
      <c r="U409" s="262" t="s">
        <v>806</v>
      </c>
      <c r="V409" s="262" t="s">
        <v>807</v>
      </c>
      <c r="W409" s="262" t="s">
        <v>808</v>
      </c>
      <c r="X409" s="262" t="s">
        <v>809</v>
      </c>
      <c r="Y409" s="262" t="s">
        <v>810</v>
      </c>
      <c r="Z409" s="262" t="s">
        <v>811</v>
      </c>
    </row>
    <row r="410" spans="1:26" x14ac:dyDescent="0.2">
      <c r="A410" t="s">
        <v>690</v>
      </c>
      <c r="C410" s="139" t="s">
        <v>479</v>
      </c>
      <c r="D410" s="95">
        <f t="shared" ref="D410" si="48">(SUM(Z410*1000,-P410)/10)/P410</f>
        <v>-1.0159160176092109E-4</v>
      </c>
      <c r="E410" t="s">
        <v>173</v>
      </c>
      <c r="F410" s="95">
        <f t="shared" ref="F410" si="49">SUM(J410,-M410)/SUM(J410,K410,L410,M410)</f>
        <v>2.0658849804578449E-2</v>
      </c>
      <c r="G410" s="136">
        <f t="shared" ref="G410" si="50">N410/I410</f>
        <v>1249.0006951685784</v>
      </c>
      <c r="H410" s="187">
        <v>23624</v>
      </c>
      <c r="I410" s="89">
        <v>23016</v>
      </c>
      <c r="J410" s="89">
        <v>2340</v>
      </c>
      <c r="K410" s="89">
        <v>2270</v>
      </c>
      <c r="L410" s="89">
        <v>2190</v>
      </c>
      <c r="M410" s="89">
        <v>2155</v>
      </c>
      <c r="N410" s="89">
        <v>28747000</v>
      </c>
      <c r="O410" s="113" t="s">
        <v>479</v>
      </c>
      <c r="P410" s="256">
        <v>23624</v>
      </c>
      <c r="Q410" s="258">
        <v>23.6</v>
      </c>
      <c r="R410" s="258">
        <v>23.8</v>
      </c>
      <c r="S410" s="258">
        <v>23.8</v>
      </c>
      <c r="T410" s="258">
        <v>23.9</v>
      </c>
      <c r="U410" s="258">
        <v>23.8</v>
      </c>
      <c r="V410" s="258">
        <v>23.8</v>
      </c>
      <c r="W410" s="258">
        <v>23.8</v>
      </c>
      <c r="X410" s="258">
        <v>23.7</v>
      </c>
      <c r="Y410" s="258">
        <v>23.7</v>
      </c>
      <c r="Z410" s="258">
        <v>23.6</v>
      </c>
    </row>
    <row r="411" spans="1:26" x14ac:dyDescent="0.2">
      <c r="A411" t="s">
        <v>690</v>
      </c>
      <c r="C411" s="139" t="s">
        <v>488</v>
      </c>
      <c r="D411" s="95">
        <f t="shared" ref="D411:D413" si="51">(SUM(Z411*1000,-P411)/10)/P411</f>
        <v>4.9498746867167919E-3</v>
      </c>
      <c r="E411" t="s">
        <v>173</v>
      </c>
      <c r="F411" s="95">
        <f t="shared" ref="F411:F413" si="52">SUM(J411,-M411)/SUM(J411,K411,L411,M411)</f>
        <v>1.0455563853622106E-2</v>
      </c>
      <c r="G411" s="136">
        <f t="shared" ref="G411:G413" si="53">N411/I411</f>
        <v>2862.088248608633</v>
      </c>
      <c r="H411" s="187">
        <v>38304</v>
      </c>
      <c r="I411" s="89">
        <v>37553</v>
      </c>
      <c r="J411" s="89">
        <v>3425</v>
      </c>
      <c r="K411" s="89">
        <v>3370</v>
      </c>
      <c r="L411" s="89">
        <v>3310</v>
      </c>
      <c r="M411" s="89">
        <v>3285</v>
      </c>
      <c r="N411" s="89">
        <v>107480000</v>
      </c>
      <c r="O411" s="113" t="s">
        <v>488</v>
      </c>
      <c r="P411" s="256">
        <v>38304</v>
      </c>
      <c r="Q411" s="258">
        <v>38.299999999999997</v>
      </c>
      <c r="R411" s="258">
        <v>38.6</v>
      </c>
      <c r="S411" s="258">
        <v>38.9</v>
      </c>
      <c r="T411" s="258">
        <v>39.1</v>
      </c>
      <c r="U411" s="258">
        <v>39.299999999999997</v>
      </c>
      <c r="V411" s="258">
        <v>39.5</v>
      </c>
      <c r="W411" s="258">
        <v>39.700000000000003</v>
      </c>
      <c r="X411" s="258">
        <v>39.9</v>
      </c>
      <c r="Y411" s="258">
        <v>40</v>
      </c>
      <c r="Z411" s="258">
        <v>40.200000000000003</v>
      </c>
    </row>
    <row r="412" spans="1:26" x14ac:dyDescent="0.2">
      <c r="A412" t="s">
        <v>690</v>
      </c>
      <c r="C412" s="139" t="s">
        <v>481</v>
      </c>
      <c r="D412" s="95">
        <f t="shared" si="51"/>
        <v>7.7790808063885634E-3</v>
      </c>
      <c r="E412" t="s">
        <v>173</v>
      </c>
      <c r="F412" s="95">
        <f t="shared" si="52"/>
        <v>2.4840312278211499E-2</v>
      </c>
      <c r="G412" s="136">
        <f t="shared" si="53"/>
        <v>1116.862088218872</v>
      </c>
      <c r="H412" s="187">
        <v>17907</v>
      </c>
      <c r="I412" s="89">
        <v>17910</v>
      </c>
      <c r="J412" s="89">
        <v>1855</v>
      </c>
      <c r="K412" s="89">
        <v>1785</v>
      </c>
      <c r="L412" s="89">
        <v>1725</v>
      </c>
      <c r="M412" s="89">
        <v>1680</v>
      </c>
      <c r="N412" s="89">
        <v>20003000</v>
      </c>
      <c r="O412" s="113" t="s">
        <v>481</v>
      </c>
      <c r="P412" s="256">
        <v>17907</v>
      </c>
      <c r="Q412" s="258">
        <v>18.399999999999999</v>
      </c>
      <c r="R412" s="258">
        <v>18.5</v>
      </c>
      <c r="S412" s="258">
        <v>18.7</v>
      </c>
      <c r="T412" s="258">
        <v>18.8</v>
      </c>
      <c r="U412" s="258">
        <v>18.899999999999999</v>
      </c>
      <c r="V412" s="258">
        <v>19</v>
      </c>
      <c r="W412" s="258">
        <v>19.100000000000001</v>
      </c>
      <c r="X412" s="258">
        <v>19.2</v>
      </c>
      <c r="Y412" s="258">
        <v>19.2</v>
      </c>
      <c r="Z412" s="258">
        <v>19.3</v>
      </c>
    </row>
    <row r="413" spans="1:26" x14ac:dyDescent="0.2">
      <c r="A413" t="s">
        <v>690</v>
      </c>
      <c r="C413" s="139" t="s">
        <v>876</v>
      </c>
      <c r="D413" s="95">
        <f t="shared" si="51"/>
        <v>4.0896849752614772E-3</v>
      </c>
      <c r="E413" t="s">
        <v>173</v>
      </c>
      <c r="F413" s="95">
        <f t="shared" si="52"/>
        <v>1.701258931609391E-2</v>
      </c>
      <c r="G413" s="136">
        <f t="shared" si="53"/>
        <v>1990.723633073816</v>
      </c>
      <c r="H413" s="187">
        <v>79835</v>
      </c>
      <c r="I413" s="89">
        <v>78479</v>
      </c>
      <c r="J413" s="89">
        <v>7620</v>
      </c>
      <c r="K413" s="89">
        <v>7425</v>
      </c>
      <c r="L413" s="89">
        <v>7225</v>
      </c>
      <c r="M413" s="89">
        <v>7120</v>
      </c>
      <c r="N413" s="89">
        <v>156230000</v>
      </c>
      <c r="O413" s="113" t="s">
        <v>876</v>
      </c>
      <c r="P413" s="256">
        <v>79835</v>
      </c>
      <c r="Q413" s="258">
        <v>80.3</v>
      </c>
      <c r="R413" s="258">
        <v>80.900000000000006</v>
      </c>
      <c r="S413" s="258">
        <v>81.400000000000006</v>
      </c>
      <c r="T413" s="258">
        <v>81.8</v>
      </c>
      <c r="U413" s="258">
        <v>82</v>
      </c>
      <c r="V413" s="258">
        <v>82.3</v>
      </c>
      <c r="W413" s="258">
        <v>82.6</v>
      </c>
      <c r="X413" s="258">
        <v>82.8</v>
      </c>
      <c r="Y413" s="258">
        <v>82.9</v>
      </c>
      <c r="Z413" s="258">
        <v>83.1</v>
      </c>
    </row>
    <row r="414" spans="1:26" x14ac:dyDescent="0.2">
      <c r="D414" s="95"/>
      <c r="F414" s="95"/>
      <c r="G414" s="95"/>
      <c r="H414" s="89"/>
      <c r="T414" s="258"/>
    </row>
    <row r="415" spans="1:26" x14ac:dyDescent="0.2">
      <c r="D415" s="95"/>
      <c r="F415" s="95"/>
      <c r="G415" s="95"/>
      <c r="H415" s="187"/>
      <c r="T415" s="258"/>
    </row>
    <row r="416" spans="1:26" x14ac:dyDescent="0.2">
      <c r="D416" s="95"/>
      <c r="F416" s="95"/>
      <c r="G416" s="95"/>
      <c r="H416" s="89"/>
      <c r="T416" s="258"/>
    </row>
    <row r="417" spans="4:20" x14ac:dyDescent="0.2">
      <c r="T417" s="258"/>
    </row>
    <row r="418" spans="4:20" x14ac:dyDescent="0.2">
      <c r="D418" s="95"/>
      <c r="F418" s="95"/>
      <c r="G418" s="95"/>
      <c r="H418" s="187"/>
      <c r="T418" s="258"/>
    </row>
    <row r="419" spans="4:20" x14ac:dyDescent="0.2">
      <c r="D419" s="95"/>
      <c r="F419" s="95"/>
      <c r="G419" s="95"/>
      <c r="H419" s="89"/>
      <c r="T419" s="258"/>
    </row>
    <row r="420" spans="4:20" x14ac:dyDescent="0.2">
      <c r="D420" s="95"/>
      <c r="F420" s="95"/>
      <c r="G420" s="95"/>
      <c r="H420" s="187"/>
      <c r="T420" s="258"/>
    </row>
    <row r="421" spans="4:20" x14ac:dyDescent="0.2">
      <c r="D421" s="95"/>
      <c r="F421" s="95"/>
      <c r="G421" s="95"/>
      <c r="H421" s="101"/>
      <c r="I421" s="101"/>
      <c r="J421" s="101"/>
      <c r="K421" s="101"/>
      <c r="L421" s="101"/>
      <c r="M421" s="101"/>
      <c r="N421" s="101"/>
      <c r="T421" s="258"/>
    </row>
    <row r="422" spans="4:20" x14ac:dyDescent="0.2">
      <c r="T422" s="258"/>
    </row>
    <row r="423" spans="4:20" x14ac:dyDescent="0.2">
      <c r="D423" s="95"/>
      <c r="F423" s="95"/>
      <c r="G423" s="95"/>
      <c r="H423" s="187"/>
      <c r="T423" s="258"/>
    </row>
    <row r="424" spans="4:20" x14ac:dyDescent="0.2">
      <c r="D424" s="95"/>
      <c r="F424" s="95"/>
      <c r="G424" s="95"/>
      <c r="H424" s="187"/>
      <c r="T424" s="258"/>
    </row>
    <row r="425" spans="4:20" x14ac:dyDescent="0.2">
      <c r="D425" s="95"/>
      <c r="F425" s="95"/>
      <c r="G425" s="95"/>
      <c r="H425" s="89"/>
      <c r="T425" s="258"/>
    </row>
    <row r="426" spans="4:20" x14ac:dyDescent="0.2">
      <c r="T426" s="258"/>
    </row>
    <row r="427" spans="4:20" x14ac:dyDescent="0.2">
      <c r="D427" s="95"/>
      <c r="F427" s="95"/>
      <c r="G427" s="95"/>
      <c r="H427" s="187"/>
      <c r="T427" s="258"/>
    </row>
    <row r="428" spans="4:20" x14ac:dyDescent="0.2">
      <c r="D428" s="95"/>
      <c r="F428" s="95"/>
      <c r="G428" s="95"/>
      <c r="H428" s="187"/>
      <c r="T428" s="258"/>
    </row>
    <row r="429" spans="4:20" x14ac:dyDescent="0.2">
      <c r="D429" s="95"/>
      <c r="F429" s="95"/>
      <c r="G429" s="95"/>
      <c r="H429" s="187"/>
      <c r="T429" s="258"/>
    </row>
    <row r="430" spans="4:20" x14ac:dyDescent="0.2">
      <c r="H430" s="89"/>
      <c r="T430" s="258"/>
    </row>
    <row r="431" spans="4:20" x14ac:dyDescent="0.2">
      <c r="T431" s="258"/>
    </row>
    <row r="432" spans="4:20" x14ac:dyDescent="0.2">
      <c r="T432" s="258"/>
    </row>
    <row r="433" spans="20:20" x14ac:dyDescent="0.2">
      <c r="T433" s="258"/>
    </row>
    <row r="434" spans="20:20" x14ac:dyDescent="0.2">
      <c r="T434" s="258"/>
    </row>
    <row r="435" spans="20:20" x14ac:dyDescent="0.2">
      <c r="T435" s="258"/>
    </row>
    <row r="436" spans="20:20" x14ac:dyDescent="0.2">
      <c r="T436" s="258"/>
    </row>
    <row r="437" spans="20:20" x14ac:dyDescent="0.2">
      <c r="T437" s="258"/>
    </row>
    <row r="438" spans="20:20" x14ac:dyDescent="0.2">
      <c r="T438" s="258"/>
    </row>
    <row r="439" spans="20:20" x14ac:dyDescent="0.2">
      <c r="T439" s="258"/>
    </row>
    <row r="440" spans="20:20" x14ac:dyDescent="0.2">
      <c r="T440" s="258"/>
    </row>
    <row r="441" spans="20:20" x14ac:dyDescent="0.2">
      <c r="T441" s="258"/>
    </row>
    <row r="442" spans="20:20" x14ac:dyDescent="0.2">
      <c r="T442" s="258"/>
    </row>
    <row r="443" spans="20:20" x14ac:dyDescent="0.2">
      <c r="T443" s="258"/>
    </row>
    <row r="444" spans="20:20" x14ac:dyDescent="0.2">
      <c r="T444" s="258"/>
    </row>
    <row r="445" spans="20:20" x14ac:dyDescent="0.2">
      <c r="T445" s="258"/>
    </row>
    <row r="446" spans="20:20" x14ac:dyDescent="0.2">
      <c r="T446" s="258"/>
    </row>
    <row r="447" spans="20:20" x14ac:dyDescent="0.2">
      <c r="T447" s="258"/>
    </row>
    <row r="448" spans="20:20" x14ac:dyDescent="0.2">
      <c r="T448" s="258"/>
    </row>
    <row r="449" spans="20:20" x14ac:dyDescent="0.2">
      <c r="T449" s="258"/>
    </row>
    <row r="450" spans="20:20" x14ac:dyDescent="0.2">
      <c r="T450" s="258"/>
    </row>
    <row r="451" spans="20:20" x14ac:dyDescent="0.2">
      <c r="T451" s="258"/>
    </row>
    <row r="452" spans="20:20" x14ac:dyDescent="0.2">
      <c r="T452" s="258"/>
    </row>
    <row r="453" spans="20:20" x14ac:dyDescent="0.2">
      <c r="T453" s="258"/>
    </row>
    <row r="454" spans="20:20" x14ac:dyDescent="0.2">
      <c r="T454" s="258"/>
    </row>
    <row r="455" spans="20:20" x14ac:dyDescent="0.2">
      <c r="T455" s="258"/>
    </row>
    <row r="456" spans="20:20" x14ac:dyDescent="0.2">
      <c r="T456" s="258"/>
    </row>
    <row r="457" spans="20:20" x14ac:dyDescent="0.2">
      <c r="T457" s="258"/>
    </row>
    <row r="458" spans="20:20" x14ac:dyDescent="0.2">
      <c r="T458" s="258"/>
    </row>
    <row r="459" spans="20:20" x14ac:dyDescent="0.2">
      <c r="T459" s="258"/>
    </row>
    <row r="460" spans="20:20" x14ac:dyDescent="0.2">
      <c r="T460" s="258"/>
    </row>
    <row r="461" spans="20:20" x14ac:dyDescent="0.2">
      <c r="T461" s="258"/>
    </row>
    <row r="462" spans="20:20" x14ac:dyDescent="0.2">
      <c r="T462" s="258"/>
    </row>
    <row r="463" spans="20:20" x14ac:dyDescent="0.2">
      <c r="T463" s="258"/>
    </row>
    <row r="464" spans="20:20" x14ac:dyDescent="0.2">
      <c r="T464" s="258"/>
    </row>
    <row r="465" spans="20:20" x14ac:dyDescent="0.2">
      <c r="T465" s="258"/>
    </row>
    <row r="466" spans="20:20" x14ac:dyDescent="0.2">
      <c r="T466" s="258"/>
    </row>
    <row r="467" spans="20:20" x14ac:dyDescent="0.2">
      <c r="T467" s="258"/>
    </row>
  </sheetData>
  <sheetProtection algorithmName="SHA-512" hashValue="Wq57Hurv0VAu7Ac3QP8lX14HIws4aPNPqTEc1KAIylO5PlP46Wq2rS8xltlsN0jwQ8q51wuWrKZflAqFT73H7Q==" saltValue="wWIcv4scmJ05gb7i/1c2jQ==" spinCount="100000" sheet="1" objects="1" scenarios="1" selectLockedCells="1" selectUnlockedCells="1"/>
  <sortState ref="AB2:AC389">
    <sortCondition ref="AB2:AB389"/>
  </sortState>
  <pageMargins left="0.7" right="0.7" top="0.75" bottom="0.75" header="0.3" footer="0.3"/>
  <pageSetup paperSize="9" orientation="portrait" vertic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13"/>
  <sheetViews>
    <sheetView topLeftCell="F1" workbookViewId="0">
      <selection activeCell="O2" sqref="O2:O389"/>
    </sheetView>
  </sheetViews>
  <sheetFormatPr defaultRowHeight="12.75" x14ac:dyDescent="0.2"/>
  <cols>
    <col min="1" max="1" width="10.140625" bestFit="1" customWidth="1"/>
    <col min="2" max="2" width="12" bestFit="1" customWidth="1"/>
    <col min="3" max="3" width="26.140625" bestFit="1" customWidth="1"/>
    <col min="4" max="4" width="18.28515625" bestFit="1" customWidth="1"/>
    <col min="5" max="5" width="26.140625" bestFit="1" customWidth="1"/>
    <col min="6" max="6" width="26.5703125" bestFit="1" customWidth="1"/>
    <col min="7" max="7" width="21.28515625" bestFit="1" customWidth="1"/>
    <col min="8" max="8" width="16.28515625" bestFit="1" customWidth="1"/>
    <col min="9" max="9" width="20.7109375" bestFit="1" customWidth="1"/>
    <col min="10" max="10" width="20.5703125" bestFit="1" customWidth="1"/>
    <col min="11" max="11" width="20.7109375" bestFit="1" customWidth="1"/>
    <col min="12" max="12" width="32.5703125" bestFit="1" customWidth="1"/>
    <col min="13" max="13" width="32.7109375" bestFit="1" customWidth="1"/>
    <col min="14" max="14" width="24.7109375" bestFit="1" customWidth="1"/>
    <col min="15" max="15" width="12.85546875" style="195" bestFit="1" customWidth="1"/>
    <col min="16" max="16" width="27.7109375" style="195" bestFit="1" customWidth="1"/>
    <col min="17" max="17" width="19" bestFit="1" customWidth="1"/>
    <col min="18" max="18" width="26.140625" bestFit="1" customWidth="1"/>
    <col min="19" max="19" width="29.28515625" bestFit="1" customWidth="1"/>
    <col min="20" max="20" width="22.85546875" style="196" bestFit="1" customWidth="1"/>
    <col min="21" max="21" width="34" bestFit="1" customWidth="1"/>
    <col min="22" max="22" width="33.42578125" bestFit="1" customWidth="1"/>
    <col min="23" max="23" width="11" bestFit="1" customWidth="1"/>
  </cols>
  <sheetData>
    <row r="1" spans="1:20" ht="13.15" x14ac:dyDescent="0.25">
      <c r="A1" s="99" t="s">
        <v>685</v>
      </c>
      <c r="B1" s="99" t="s">
        <v>686</v>
      </c>
      <c r="C1" s="139" t="s">
        <v>713</v>
      </c>
      <c r="D1" s="241" t="s">
        <v>827</v>
      </c>
      <c r="E1" s="241" t="s">
        <v>828</v>
      </c>
      <c r="F1" s="241" t="s">
        <v>829</v>
      </c>
      <c r="G1" s="241" t="s">
        <v>830</v>
      </c>
      <c r="H1" s="241" t="s">
        <v>831</v>
      </c>
      <c r="I1" s="241" t="s">
        <v>832</v>
      </c>
      <c r="J1" s="241" t="s">
        <v>833</v>
      </c>
      <c r="K1" s="241" t="s">
        <v>834</v>
      </c>
      <c r="L1" s="241" t="s">
        <v>835</v>
      </c>
      <c r="M1" s="241" t="s">
        <v>836</v>
      </c>
      <c r="N1" s="241" t="s">
        <v>837</v>
      </c>
      <c r="O1" s="244" t="s">
        <v>838</v>
      </c>
      <c r="P1" s="244"/>
      <c r="Q1" s="241"/>
      <c r="R1" s="139"/>
    </row>
    <row r="2" spans="1:20" ht="13.15" x14ac:dyDescent="0.25">
      <c r="A2" t="s">
        <v>689</v>
      </c>
      <c r="C2" s="139" t="s">
        <v>161</v>
      </c>
      <c r="D2">
        <v>0.12180000000000001</v>
      </c>
      <c r="E2">
        <v>0.18729999999999999</v>
      </c>
      <c r="F2">
        <v>0.1071</v>
      </c>
      <c r="G2" s="247">
        <f>K2/O2</f>
        <v>217.79755166470972</v>
      </c>
      <c r="H2">
        <v>2330147697.6542139</v>
      </c>
      <c r="I2">
        <v>444877702.94221902</v>
      </c>
      <c r="J2">
        <v>444877702.94221902</v>
      </c>
      <c r="K2" s="195">
        <f>D2*H2/100</f>
        <v>2838119.8957428322</v>
      </c>
      <c r="L2" s="195">
        <f>E2*J2/100</f>
        <v>833255.93761077616</v>
      </c>
      <c r="M2" s="195">
        <f>F2*I2/100</f>
        <v>476464.01985111652</v>
      </c>
      <c r="N2" s="195">
        <f>SUM(L2:M2)</f>
        <v>1309719.9574618926</v>
      </c>
      <c r="O2" s="243">
        <v>13031</v>
      </c>
      <c r="Q2" s="195"/>
      <c r="R2" s="139"/>
      <c r="S2" s="137"/>
      <c r="T2" s="247"/>
    </row>
    <row r="3" spans="1:20" ht="13.15" x14ac:dyDescent="0.25">
      <c r="A3" t="s">
        <v>690</v>
      </c>
      <c r="C3" s="139" t="s">
        <v>434</v>
      </c>
      <c r="D3">
        <v>0.122</v>
      </c>
      <c r="E3">
        <v>0.1943</v>
      </c>
      <c r="F3">
        <v>0.13669999999999999</v>
      </c>
      <c r="G3" s="247">
        <f t="shared" ref="G3:G66" si="0">K3/O3</f>
        <v>276.27609976791138</v>
      </c>
      <c r="H3">
        <v>1141563786.0082304</v>
      </c>
      <c r="I3">
        <v>229102167.18266252</v>
      </c>
      <c r="J3">
        <v>229102167.18266252</v>
      </c>
      <c r="K3" s="195">
        <f t="shared" ref="K3:K66" si="1">D3*H3/100</f>
        <v>1392707.8189300413</v>
      </c>
      <c r="L3" s="195">
        <f t="shared" ref="L3:L66" si="2">E3*J3/100</f>
        <v>445145.51083591324</v>
      </c>
      <c r="M3" s="195">
        <f t="shared" ref="M3:M66" si="3">F3*I3/100</f>
        <v>313182.66253869963</v>
      </c>
      <c r="N3" s="195">
        <f t="shared" ref="N3:N66" si="4">SUM(L3:M3)</f>
        <v>758328.17337461282</v>
      </c>
      <c r="O3" s="243">
        <v>5041</v>
      </c>
      <c r="Q3" s="195"/>
      <c r="R3" s="139"/>
      <c r="S3" s="137"/>
      <c r="T3" s="247"/>
    </row>
    <row r="4" spans="1:20" ht="13.15" x14ac:dyDescent="0.25">
      <c r="A4" t="s">
        <v>691</v>
      </c>
      <c r="C4" s="139" t="s">
        <v>319</v>
      </c>
      <c r="D4">
        <v>0.1188</v>
      </c>
      <c r="E4">
        <v>0.2036</v>
      </c>
      <c r="F4">
        <v>0.17760000000000001</v>
      </c>
      <c r="G4" s="247">
        <f t="shared" si="0"/>
        <v>318.32697582114071</v>
      </c>
      <c r="H4">
        <v>3468102734.0513668</v>
      </c>
      <c r="I4">
        <v>1085100367.5431156</v>
      </c>
      <c r="J4">
        <v>1085100367.5431156</v>
      </c>
      <c r="K4" s="195">
        <f t="shared" si="1"/>
        <v>4120106.0480530239</v>
      </c>
      <c r="L4" s="195">
        <f t="shared" si="2"/>
        <v>2209264.3483177833</v>
      </c>
      <c r="M4" s="195">
        <f t="shared" si="3"/>
        <v>1927138.2527565735</v>
      </c>
      <c r="N4" s="195">
        <f t="shared" si="4"/>
        <v>4136402.6010743566</v>
      </c>
      <c r="O4" s="243">
        <v>12943</v>
      </c>
      <c r="Q4" s="195"/>
      <c r="R4" s="139"/>
      <c r="S4" s="137"/>
      <c r="T4" s="247"/>
    </row>
    <row r="5" spans="1:20" ht="13.15" x14ac:dyDescent="0.25">
      <c r="A5" t="s">
        <v>692</v>
      </c>
      <c r="C5" s="139" t="s">
        <v>241</v>
      </c>
      <c r="D5">
        <v>0.13270000000000001</v>
      </c>
      <c r="E5">
        <v>0.1641</v>
      </c>
      <c r="F5">
        <v>0.1226</v>
      </c>
      <c r="G5" s="247">
        <f t="shared" si="0"/>
        <v>237.78405597172542</v>
      </c>
      <c r="H5">
        <v>2162096774.1935482</v>
      </c>
      <c r="I5">
        <v>534943285.76655698</v>
      </c>
      <c r="J5">
        <v>534943285.76655698</v>
      </c>
      <c r="K5" s="195">
        <f t="shared" si="1"/>
        <v>2869102.4193548388</v>
      </c>
      <c r="L5" s="195">
        <f t="shared" si="2"/>
        <v>877841.93194291997</v>
      </c>
      <c r="M5" s="195">
        <f t="shared" si="3"/>
        <v>655840.46834979882</v>
      </c>
      <c r="N5" s="195">
        <f t="shared" si="4"/>
        <v>1533682.4002927188</v>
      </c>
      <c r="O5" s="243">
        <v>12066</v>
      </c>
      <c r="Q5" s="195"/>
      <c r="R5" s="139"/>
      <c r="S5" s="137"/>
      <c r="T5" s="247"/>
    </row>
    <row r="6" spans="1:20" ht="13.15" x14ac:dyDescent="0.25">
      <c r="A6" t="s">
        <v>693</v>
      </c>
      <c r="C6" s="139" t="s">
        <v>197</v>
      </c>
      <c r="D6">
        <v>0.17829999999999999</v>
      </c>
      <c r="E6">
        <v>0.27750000000000002</v>
      </c>
      <c r="F6">
        <v>0.222</v>
      </c>
      <c r="G6" s="247">
        <f t="shared" si="0"/>
        <v>268.87139315143537</v>
      </c>
      <c r="H6">
        <v>1810169491.525424</v>
      </c>
      <c r="I6">
        <v>447258267.05734617</v>
      </c>
      <c r="J6">
        <v>447258267.05734617</v>
      </c>
      <c r="K6" s="195">
        <f t="shared" si="1"/>
        <v>3227532.2033898304</v>
      </c>
      <c r="L6" s="195">
        <f t="shared" si="2"/>
        <v>1241141.6910841358</v>
      </c>
      <c r="M6" s="195">
        <f t="shared" si="3"/>
        <v>992913.35286730854</v>
      </c>
      <c r="N6" s="195">
        <f t="shared" si="4"/>
        <v>2234055.0439514443</v>
      </c>
      <c r="O6" s="243">
        <v>12004</v>
      </c>
      <c r="Q6" s="195"/>
      <c r="R6" s="139"/>
      <c r="S6" s="137"/>
      <c r="T6" s="247"/>
    </row>
    <row r="7" spans="1:20" ht="13.15" x14ac:dyDescent="0.25">
      <c r="A7" t="s">
        <v>694</v>
      </c>
      <c r="C7" s="139" t="s">
        <v>364</v>
      </c>
      <c r="D7">
        <v>0.13270000000000001</v>
      </c>
      <c r="E7">
        <v>0.29870000000000002</v>
      </c>
      <c r="F7">
        <v>0.24199999999999999</v>
      </c>
      <c r="G7" s="247">
        <f t="shared" si="0"/>
        <v>249.06142761954598</v>
      </c>
      <c r="H7">
        <v>1547671840.3547671</v>
      </c>
      <c r="I7">
        <v>469214876.03305781</v>
      </c>
      <c r="J7">
        <v>469214876.03305781</v>
      </c>
      <c r="K7" s="195">
        <f t="shared" si="1"/>
        <v>2053760.5321507761</v>
      </c>
      <c r="L7" s="195">
        <f t="shared" si="2"/>
        <v>1401544.8347107437</v>
      </c>
      <c r="M7" s="195">
        <f t="shared" si="3"/>
        <v>1135499.9999999998</v>
      </c>
      <c r="N7" s="195">
        <f t="shared" si="4"/>
        <v>2537044.8347107433</v>
      </c>
      <c r="O7" s="243">
        <v>8246</v>
      </c>
      <c r="Q7" s="195"/>
      <c r="R7" s="139"/>
      <c r="S7" s="137"/>
      <c r="T7" s="247"/>
    </row>
    <row r="8" spans="1:20" ht="13.15" x14ac:dyDescent="0.25">
      <c r="A8" t="s">
        <v>694</v>
      </c>
      <c r="C8" s="139" t="s">
        <v>365</v>
      </c>
      <c r="D8">
        <v>0.14149999999999999</v>
      </c>
      <c r="E8">
        <v>0.36570000000000003</v>
      </c>
      <c r="F8">
        <v>0.29289999999999999</v>
      </c>
      <c r="G8" s="247">
        <f t="shared" si="0"/>
        <v>330.47177979560445</v>
      </c>
      <c r="H8">
        <v>2471181556.1959653</v>
      </c>
      <c r="I8">
        <v>457489232.73249322</v>
      </c>
      <c r="J8">
        <v>457489232.73249322</v>
      </c>
      <c r="K8" s="195">
        <f t="shared" si="1"/>
        <v>3496721.9020172907</v>
      </c>
      <c r="L8" s="195">
        <f t="shared" si="2"/>
        <v>1673038.1241027277</v>
      </c>
      <c r="M8" s="195">
        <f t="shared" si="3"/>
        <v>1339985.9626734727</v>
      </c>
      <c r="N8" s="195">
        <f t="shared" si="4"/>
        <v>3013024.0867762007</v>
      </c>
      <c r="O8" s="243">
        <v>10581</v>
      </c>
      <c r="Q8" s="195"/>
      <c r="R8" s="139"/>
      <c r="S8" s="137"/>
      <c r="T8" s="247"/>
    </row>
    <row r="9" spans="1:20" ht="13.15" x14ac:dyDescent="0.25">
      <c r="A9" t="s">
        <v>691</v>
      </c>
      <c r="C9" s="139" t="s">
        <v>320</v>
      </c>
      <c r="D9">
        <v>9.8000000000000004E-2</v>
      </c>
      <c r="E9">
        <v>0.24399999999999999</v>
      </c>
      <c r="F9">
        <v>0.2</v>
      </c>
      <c r="G9" s="247">
        <f t="shared" si="0"/>
        <v>179.51580844547749</v>
      </c>
      <c r="H9">
        <v>9322549019.6078434</v>
      </c>
      <c r="I9">
        <v>2139900000</v>
      </c>
      <c r="J9">
        <v>2139900000</v>
      </c>
      <c r="K9" s="195">
        <f t="shared" si="1"/>
        <v>9136098.0392156858</v>
      </c>
      <c r="L9" s="195">
        <f t="shared" si="2"/>
        <v>5221356</v>
      </c>
      <c r="M9" s="195">
        <f t="shared" si="3"/>
        <v>4279800</v>
      </c>
      <c r="N9" s="195">
        <f t="shared" si="4"/>
        <v>9501156</v>
      </c>
      <c r="O9" s="243">
        <v>50893</v>
      </c>
      <c r="Q9" s="195"/>
      <c r="R9" s="139"/>
      <c r="S9" s="137"/>
      <c r="T9" s="247"/>
    </row>
    <row r="10" spans="1:20" ht="13.15" x14ac:dyDescent="0.25">
      <c r="A10" t="s">
        <v>695</v>
      </c>
      <c r="C10" s="139" t="s">
        <v>217</v>
      </c>
      <c r="D10">
        <v>0.1774</v>
      </c>
      <c r="E10">
        <v>0.35570000000000002</v>
      </c>
      <c r="F10">
        <v>0.28349999999999997</v>
      </c>
      <c r="G10" s="247">
        <f t="shared" si="0"/>
        <v>254.07697442895224</v>
      </c>
      <c r="H10">
        <v>4694838343.7322741</v>
      </c>
      <c r="I10">
        <v>1625039974.4163737</v>
      </c>
      <c r="J10">
        <v>1625039974.4163737</v>
      </c>
      <c r="K10" s="195">
        <f t="shared" si="1"/>
        <v>8328643.2217810545</v>
      </c>
      <c r="L10" s="195">
        <f t="shared" si="2"/>
        <v>5780267.188999041</v>
      </c>
      <c r="M10" s="195">
        <f t="shared" si="3"/>
        <v>4606988.327470419</v>
      </c>
      <c r="N10" s="195">
        <f t="shared" si="4"/>
        <v>10387255.51646946</v>
      </c>
      <c r="O10" s="243">
        <v>32780</v>
      </c>
      <c r="Q10" s="195"/>
      <c r="R10" s="139"/>
      <c r="S10" s="137"/>
      <c r="T10" s="247"/>
    </row>
    <row r="11" spans="1:20" ht="13.15" x14ac:dyDescent="0.25">
      <c r="A11" t="s">
        <v>696</v>
      </c>
      <c r="C11" s="139" t="s">
        <v>529</v>
      </c>
      <c r="D11">
        <v>0.15260000000000001</v>
      </c>
      <c r="E11">
        <v>0.2863</v>
      </c>
      <c r="F11">
        <v>0.23</v>
      </c>
      <c r="G11" s="247">
        <f t="shared" si="0"/>
        <v>267.43260578388157</v>
      </c>
      <c r="H11">
        <v>14068076668.869797</v>
      </c>
      <c r="I11">
        <v>3694803902.0505676</v>
      </c>
      <c r="J11">
        <v>3694803902.0505676</v>
      </c>
      <c r="K11" s="195">
        <f t="shared" si="1"/>
        <v>21467884.99669531</v>
      </c>
      <c r="L11" s="195">
        <f t="shared" si="2"/>
        <v>10578223.571570776</v>
      </c>
      <c r="M11" s="195">
        <f t="shared" si="3"/>
        <v>8498048.9747163057</v>
      </c>
      <c r="N11" s="195">
        <f t="shared" si="4"/>
        <v>19076272.546287082</v>
      </c>
      <c r="O11" s="243">
        <v>80274</v>
      </c>
      <c r="Q11" s="195"/>
      <c r="R11" s="139"/>
      <c r="S11" s="137"/>
      <c r="T11" s="247"/>
    </row>
    <row r="12" spans="1:20" ht="13.15" x14ac:dyDescent="0.25">
      <c r="A12" t="s">
        <v>694</v>
      </c>
      <c r="C12" s="139" t="s">
        <v>366</v>
      </c>
      <c r="D12">
        <v>0.1245</v>
      </c>
      <c r="E12">
        <v>0.1827</v>
      </c>
      <c r="F12">
        <v>0.1588</v>
      </c>
      <c r="G12" s="247">
        <f t="shared" si="0"/>
        <v>265.87730096874998</v>
      </c>
      <c r="H12">
        <v>9883374689.8263035</v>
      </c>
      <c r="I12">
        <v>2514625228.5191956</v>
      </c>
      <c r="J12">
        <v>2514625228.5191956</v>
      </c>
      <c r="K12" s="195">
        <f t="shared" si="1"/>
        <v>12304801.488833748</v>
      </c>
      <c r="L12" s="195">
        <f t="shared" si="2"/>
        <v>4594220.2925045704</v>
      </c>
      <c r="M12" s="195">
        <f t="shared" si="3"/>
        <v>3993224.8628884824</v>
      </c>
      <c r="N12" s="195">
        <f t="shared" si="4"/>
        <v>8587445.1553930528</v>
      </c>
      <c r="O12" s="243">
        <v>46280</v>
      </c>
      <c r="Q12" s="195"/>
      <c r="R12" s="139"/>
      <c r="S12" s="137"/>
      <c r="T12" s="247"/>
    </row>
    <row r="13" spans="1:20" ht="13.15" x14ac:dyDescent="0.25">
      <c r="A13" t="s">
        <v>690</v>
      </c>
      <c r="C13" s="139" t="s">
        <v>435</v>
      </c>
      <c r="D13">
        <v>0.11070000000000001</v>
      </c>
      <c r="E13">
        <v>0.1406</v>
      </c>
      <c r="F13">
        <v>0.1089</v>
      </c>
      <c r="G13" s="247">
        <f t="shared" si="0"/>
        <v>273.15409157975711</v>
      </c>
      <c r="H13">
        <v>1093109869.6461825</v>
      </c>
      <c r="I13">
        <v>275946275.94627601</v>
      </c>
      <c r="J13">
        <v>275946275.94627601</v>
      </c>
      <c r="K13" s="195">
        <f t="shared" si="1"/>
        <v>1210072.6256983241</v>
      </c>
      <c r="L13" s="195">
        <f t="shared" si="2"/>
        <v>387980.46398046403</v>
      </c>
      <c r="M13" s="195">
        <f t="shared" si="3"/>
        <v>300505.4945054946</v>
      </c>
      <c r="N13" s="195">
        <f t="shared" si="4"/>
        <v>688485.95848595863</v>
      </c>
      <c r="O13" s="243">
        <v>4430</v>
      </c>
      <c r="Q13" s="195"/>
      <c r="R13" s="139"/>
      <c r="S13" s="137"/>
      <c r="T13" s="247"/>
    </row>
    <row r="14" spans="1:20" ht="13.15" x14ac:dyDescent="0.25">
      <c r="A14" t="s">
        <v>693</v>
      </c>
      <c r="C14" s="139" t="s">
        <v>198</v>
      </c>
      <c r="D14">
        <v>9.9099999999999994E-2</v>
      </c>
      <c r="E14">
        <v>0.1406</v>
      </c>
      <c r="F14">
        <v>0.1125</v>
      </c>
      <c r="G14" s="247">
        <f t="shared" si="0"/>
        <v>206.86983398219868</v>
      </c>
      <c r="H14">
        <v>739178690.34406221</v>
      </c>
      <c r="I14">
        <v>203824424.16340721</v>
      </c>
      <c r="J14">
        <v>203824424.16340721</v>
      </c>
      <c r="K14" s="195">
        <f t="shared" si="1"/>
        <v>732526.08213096554</v>
      </c>
      <c r="L14" s="195">
        <f t="shared" si="2"/>
        <v>286577.14037375053</v>
      </c>
      <c r="M14" s="195">
        <f t="shared" si="3"/>
        <v>229302.47718383314</v>
      </c>
      <c r="N14" s="195">
        <f t="shared" si="4"/>
        <v>515879.61755758367</v>
      </c>
      <c r="O14" s="243">
        <v>3541</v>
      </c>
      <c r="Q14" s="195"/>
      <c r="R14" s="139"/>
      <c r="S14" s="137"/>
      <c r="T14" s="247"/>
    </row>
    <row r="15" spans="1:20" ht="13.15" x14ac:dyDescent="0.25">
      <c r="A15" t="s">
        <v>697</v>
      </c>
      <c r="C15" s="139" t="s">
        <v>294</v>
      </c>
      <c r="D15">
        <v>0.14249999999999999</v>
      </c>
      <c r="E15">
        <v>0.2949</v>
      </c>
      <c r="F15">
        <v>0.2407</v>
      </c>
      <c r="G15" s="247">
        <f t="shared" si="0"/>
        <v>306.35671279651041</v>
      </c>
      <c r="H15">
        <v>14186788154.897493</v>
      </c>
      <c r="I15">
        <v>3801705756.9296374</v>
      </c>
      <c r="J15">
        <v>3801705756.9296374</v>
      </c>
      <c r="K15" s="195">
        <f t="shared" si="1"/>
        <v>20216173.120728925</v>
      </c>
      <c r="L15" s="195">
        <f t="shared" si="2"/>
        <v>11211230.2771855</v>
      </c>
      <c r="M15" s="195">
        <f t="shared" si="3"/>
        <v>9150705.7569296379</v>
      </c>
      <c r="N15" s="195">
        <f t="shared" si="4"/>
        <v>20361936.034115136</v>
      </c>
      <c r="O15" s="243">
        <v>65989</v>
      </c>
      <c r="Q15" s="195"/>
      <c r="R15" s="139"/>
      <c r="S15" s="137"/>
      <c r="T15" s="247"/>
    </row>
    <row r="16" spans="1:20" ht="13.15" x14ac:dyDescent="0.25">
      <c r="A16" t="s">
        <v>691</v>
      </c>
      <c r="C16" s="139" t="s">
        <v>321</v>
      </c>
      <c r="D16">
        <v>9.1469999999999996E-2</v>
      </c>
      <c r="E16">
        <v>0.24765000000000001</v>
      </c>
      <c r="F16">
        <v>0.19939999999999999</v>
      </c>
      <c r="G16" s="247">
        <f t="shared" si="0"/>
        <v>228.31707491746619</v>
      </c>
      <c r="H16">
        <v>10952330396.00807</v>
      </c>
      <c r="I16">
        <v>2901675198.8848028</v>
      </c>
      <c r="J16">
        <v>2901675198.8848028</v>
      </c>
      <c r="K16" s="195">
        <f t="shared" si="1"/>
        <v>10018096.613228582</v>
      </c>
      <c r="L16" s="195">
        <f t="shared" si="2"/>
        <v>7185998.6300382148</v>
      </c>
      <c r="M16" s="195">
        <f t="shared" si="3"/>
        <v>5785940.3465762958</v>
      </c>
      <c r="N16" s="195">
        <f t="shared" si="4"/>
        <v>12971938.976614511</v>
      </c>
      <c r="O16" s="243">
        <v>43878</v>
      </c>
      <c r="Q16" s="195"/>
      <c r="R16" s="139"/>
      <c r="S16" s="137"/>
      <c r="T16" s="247"/>
    </row>
    <row r="17" spans="1:20" ht="13.15" x14ac:dyDescent="0.25">
      <c r="A17" t="s">
        <v>691</v>
      </c>
      <c r="C17" s="139" t="s">
        <v>322</v>
      </c>
      <c r="D17">
        <v>5.7189999999999998E-2</v>
      </c>
      <c r="E17">
        <v>0.1799</v>
      </c>
      <c r="F17">
        <v>0.14383000000000001</v>
      </c>
      <c r="G17" s="247">
        <f t="shared" si="0"/>
        <v>124.29832551165048</v>
      </c>
      <c r="H17">
        <v>94844251766.217072</v>
      </c>
      <c r="I17">
        <v>35188789651.98645</v>
      </c>
      <c r="J17">
        <v>35188789651.98645</v>
      </c>
      <c r="K17" s="195">
        <f t="shared" si="1"/>
        <v>54241427.585099548</v>
      </c>
      <c r="L17" s="195">
        <f t="shared" si="2"/>
        <v>63304632.583923623</v>
      </c>
      <c r="M17" s="195">
        <f t="shared" si="3"/>
        <v>50612036.156452112</v>
      </c>
      <c r="N17" s="195">
        <f t="shared" si="4"/>
        <v>113916668.74037573</v>
      </c>
      <c r="O17" s="243">
        <v>436381</v>
      </c>
      <c r="Q17" s="195"/>
      <c r="R17" s="139"/>
      <c r="S17" s="137"/>
      <c r="T17" s="247"/>
    </row>
    <row r="18" spans="1:20" ht="13.15" x14ac:dyDescent="0.25">
      <c r="A18" t="s">
        <v>692</v>
      </c>
      <c r="C18" s="139" t="s">
        <v>242</v>
      </c>
      <c r="D18">
        <v>0.14480000000000001</v>
      </c>
      <c r="E18">
        <v>0.37830000000000003</v>
      </c>
      <c r="F18">
        <v>0.29930000000000001</v>
      </c>
      <c r="G18" s="247">
        <f t="shared" si="0"/>
        <v>275.86047255206319</v>
      </c>
      <c r="H18">
        <v>14234057463.20953</v>
      </c>
      <c r="I18">
        <v>4352797657.7748861</v>
      </c>
      <c r="J18">
        <v>4352797657.7748861</v>
      </c>
      <c r="K18" s="195">
        <f t="shared" si="1"/>
        <v>20610915.2067274</v>
      </c>
      <c r="L18" s="195">
        <f t="shared" si="2"/>
        <v>16466633.539362395</v>
      </c>
      <c r="M18" s="195">
        <f t="shared" si="3"/>
        <v>13027923.389720235</v>
      </c>
      <c r="N18" s="195">
        <f t="shared" si="4"/>
        <v>29494556.929082632</v>
      </c>
      <c r="O18" s="243">
        <v>74715</v>
      </c>
      <c r="Q18" s="195"/>
      <c r="R18" s="139"/>
      <c r="S18" s="137"/>
      <c r="T18" s="247"/>
    </row>
    <row r="19" spans="1:20" ht="13.15" x14ac:dyDescent="0.25">
      <c r="A19" t="s">
        <v>698</v>
      </c>
      <c r="C19" s="139" t="s">
        <v>174</v>
      </c>
      <c r="D19">
        <v>0.2616</v>
      </c>
      <c r="E19">
        <v>0.36430000000000001</v>
      </c>
      <c r="F19">
        <v>0.2908</v>
      </c>
      <c r="G19" s="247">
        <f t="shared" si="0"/>
        <v>330.00540637952787</v>
      </c>
      <c r="H19">
        <v>762569832.40223467</v>
      </c>
      <c r="I19">
        <v>197500411.11659265</v>
      </c>
      <c r="J19">
        <v>197500411.11659265</v>
      </c>
      <c r="K19" s="195">
        <f t="shared" si="1"/>
        <v>1994882.6815642458</v>
      </c>
      <c r="L19" s="195">
        <f t="shared" si="2"/>
        <v>719493.99769774708</v>
      </c>
      <c r="M19" s="195">
        <f t="shared" si="3"/>
        <v>574331.19552705134</v>
      </c>
      <c r="N19" s="195">
        <f t="shared" si="4"/>
        <v>1293825.1932247984</v>
      </c>
      <c r="O19" s="243">
        <v>6045</v>
      </c>
      <c r="Q19" s="195"/>
      <c r="R19" s="139"/>
      <c r="S19" s="137"/>
      <c r="T19" s="247"/>
    </row>
    <row r="20" spans="1:20" ht="13.15" x14ac:dyDescent="0.25">
      <c r="A20" t="s">
        <v>692</v>
      </c>
      <c r="C20" s="139" t="s">
        <v>243</v>
      </c>
      <c r="D20">
        <v>0.20030000000000001</v>
      </c>
      <c r="E20">
        <v>0.50360000000000005</v>
      </c>
      <c r="F20">
        <v>0.16789999999999999</v>
      </c>
      <c r="G20" s="247">
        <f t="shared" si="0"/>
        <v>319.24312655989155</v>
      </c>
      <c r="H20">
        <v>11993532338.308456</v>
      </c>
      <c r="I20">
        <v>3923661800.486618</v>
      </c>
      <c r="J20">
        <v>3923661800.486618</v>
      </c>
      <c r="K20" s="195">
        <f t="shared" si="1"/>
        <v>24023045.273631841</v>
      </c>
      <c r="L20" s="195">
        <f t="shared" si="2"/>
        <v>19759560.827250611</v>
      </c>
      <c r="M20" s="195">
        <f t="shared" si="3"/>
        <v>6587828.1630170308</v>
      </c>
      <c r="N20" s="195">
        <f t="shared" si="4"/>
        <v>26347388.990267642</v>
      </c>
      <c r="O20" s="243">
        <v>75250</v>
      </c>
      <c r="Q20" s="195"/>
      <c r="R20" s="139"/>
      <c r="S20" s="137"/>
      <c r="T20" s="247"/>
    </row>
    <row r="21" spans="1:20" ht="13.15" x14ac:dyDescent="0.25">
      <c r="A21" t="s">
        <v>689</v>
      </c>
      <c r="C21" s="139" t="s">
        <v>162</v>
      </c>
      <c r="D21">
        <v>0.18160000000000001</v>
      </c>
      <c r="E21">
        <v>0.3533</v>
      </c>
      <c r="F21">
        <v>0.2853</v>
      </c>
      <c r="G21" s="247">
        <f t="shared" si="0"/>
        <v>268.51085698491943</v>
      </c>
      <c r="H21">
        <v>4690068493.1506853</v>
      </c>
      <c r="I21">
        <v>1376982787.7151537</v>
      </c>
      <c r="J21">
        <v>1376982787.7151537</v>
      </c>
      <c r="K21" s="195">
        <f t="shared" si="1"/>
        <v>8517164.3835616447</v>
      </c>
      <c r="L21" s="195">
        <f t="shared" si="2"/>
        <v>4864880.1889976384</v>
      </c>
      <c r="M21" s="195">
        <f t="shared" si="3"/>
        <v>3928531.8933513337</v>
      </c>
      <c r="N21" s="195">
        <f t="shared" si="4"/>
        <v>8793412.0823489726</v>
      </c>
      <c r="O21" s="243">
        <v>31720</v>
      </c>
      <c r="Q21" s="195"/>
      <c r="R21" s="139"/>
      <c r="S21" s="137"/>
      <c r="T21" s="247"/>
    </row>
    <row r="22" spans="1:20" ht="13.15" x14ac:dyDescent="0.25">
      <c r="A22" t="s">
        <v>690</v>
      </c>
      <c r="C22" s="139" t="s">
        <v>436</v>
      </c>
      <c r="D22">
        <v>0.1133</v>
      </c>
      <c r="E22">
        <v>0.1802</v>
      </c>
      <c r="F22">
        <v>0.1449</v>
      </c>
      <c r="G22" s="247">
        <f t="shared" si="0"/>
        <v>274.55706646548913</v>
      </c>
      <c r="H22">
        <v>1642253521.1267605</v>
      </c>
      <c r="I22">
        <v>525366019.74804217</v>
      </c>
      <c r="J22">
        <v>525366019.74804217</v>
      </c>
      <c r="K22" s="195">
        <f t="shared" si="1"/>
        <v>1860673.2394366197</v>
      </c>
      <c r="L22" s="195">
        <f t="shared" si="2"/>
        <v>946709.5675859719</v>
      </c>
      <c r="M22" s="195">
        <f t="shared" si="3"/>
        <v>761255.36261491315</v>
      </c>
      <c r="N22" s="195">
        <f t="shared" si="4"/>
        <v>1707964.930200885</v>
      </c>
      <c r="O22" s="243">
        <v>6777</v>
      </c>
      <c r="Q22" s="195"/>
      <c r="R22" s="139"/>
      <c r="S22" s="137"/>
      <c r="T22" s="247"/>
    </row>
    <row r="23" spans="1:20" ht="13.15" x14ac:dyDescent="0.25">
      <c r="A23" t="s">
        <v>690</v>
      </c>
      <c r="C23" s="139" t="s">
        <v>437</v>
      </c>
      <c r="D23">
        <v>0.112</v>
      </c>
      <c r="E23">
        <v>0.13200000000000001</v>
      </c>
      <c r="F23">
        <v>0.10100000000000001</v>
      </c>
      <c r="G23" s="247">
        <f t="shared" si="0"/>
        <v>191.96062346185397</v>
      </c>
      <c r="H23">
        <v>626785714.28571427</v>
      </c>
      <c r="I23">
        <v>262612612.61261261</v>
      </c>
      <c r="J23">
        <v>262612612.61261261</v>
      </c>
      <c r="K23" s="195">
        <f t="shared" si="1"/>
        <v>702000</v>
      </c>
      <c r="L23" s="195">
        <f t="shared" si="2"/>
        <v>346648.64864864864</v>
      </c>
      <c r="M23" s="195">
        <f t="shared" si="3"/>
        <v>265238.73873873876</v>
      </c>
      <c r="N23" s="195">
        <f t="shared" si="4"/>
        <v>611887.38738738745</v>
      </c>
      <c r="O23" s="243">
        <v>3657</v>
      </c>
      <c r="Q23" s="195"/>
      <c r="R23" s="139"/>
      <c r="S23" s="137"/>
      <c r="T23" s="247"/>
    </row>
    <row r="24" spans="1:20" ht="13.15" x14ac:dyDescent="0.25">
      <c r="A24" t="s">
        <v>697</v>
      </c>
      <c r="C24" s="139" t="s">
        <v>295</v>
      </c>
      <c r="D24">
        <v>0.12640000000000001</v>
      </c>
      <c r="E24">
        <v>0.20860000000000001</v>
      </c>
      <c r="F24">
        <v>0.16689999999999999</v>
      </c>
      <c r="G24" s="247">
        <f t="shared" si="0"/>
        <v>315.16479296542911</v>
      </c>
      <c r="H24">
        <v>3095047923.3226833</v>
      </c>
      <c r="I24">
        <v>517074482.38773859</v>
      </c>
      <c r="J24">
        <v>517074482.38773859</v>
      </c>
      <c r="K24" s="195">
        <f t="shared" si="1"/>
        <v>3912140.5750798718</v>
      </c>
      <c r="L24" s="195">
        <f t="shared" si="2"/>
        <v>1078617.3702608228</v>
      </c>
      <c r="M24" s="195">
        <f t="shared" si="3"/>
        <v>862997.31110513571</v>
      </c>
      <c r="N24" s="195">
        <f t="shared" si="4"/>
        <v>1941614.6813659584</v>
      </c>
      <c r="O24" s="243">
        <v>12413</v>
      </c>
      <c r="Q24" s="195"/>
      <c r="R24" s="139"/>
      <c r="S24" s="137"/>
      <c r="T24" s="247"/>
    </row>
    <row r="25" spans="1:20" ht="13.15" x14ac:dyDescent="0.25">
      <c r="A25" t="s">
        <v>694</v>
      </c>
      <c r="C25" s="139" t="s">
        <v>367</v>
      </c>
      <c r="D25">
        <v>0.1244</v>
      </c>
      <c r="E25">
        <v>0.14910000000000001</v>
      </c>
      <c r="F25">
        <v>0.12759999999999999</v>
      </c>
      <c r="G25" s="247">
        <f t="shared" si="0"/>
        <v>286.24771133303551</v>
      </c>
      <c r="H25">
        <v>4382305194.8051949</v>
      </c>
      <c r="I25">
        <v>1137276378.2402334</v>
      </c>
      <c r="J25">
        <v>1137276378.2402334</v>
      </c>
      <c r="K25" s="195">
        <f t="shared" si="1"/>
        <v>5451587.6623376617</v>
      </c>
      <c r="L25" s="195">
        <f t="shared" si="2"/>
        <v>1695679.0799561881</v>
      </c>
      <c r="M25" s="195">
        <f t="shared" si="3"/>
        <v>1451164.6586345378</v>
      </c>
      <c r="N25" s="195">
        <f t="shared" si="4"/>
        <v>3146843.7385907257</v>
      </c>
      <c r="O25" s="243">
        <v>19045</v>
      </c>
      <c r="Q25" s="195"/>
      <c r="R25" s="139"/>
      <c r="S25" s="137"/>
      <c r="T25" s="247"/>
    </row>
    <row r="26" spans="1:20" ht="13.15" x14ac:dyDescent="0.25">
      <c r="A26" t="s">
        <v>692</v>
      </c>
      <c r="C26" s="139" t="s">
        <v>244</v>
      </c>
      <c r="D26">
        <v>0.1077</v>
      </c>
      <c r="E26">
        <v>0.15160000000000001</v>
      </c>
      <c r="F26">
        <v>0.1197</v>
      </c>
      <c r="G26" s="247">
        <f t="shared" si="0"/>
        <v>217.06290681832928</v>
      </c>
      <c r="H26">
        <v>5335877862.5954199</v>
      </c>
      <c r="I26">
        <v>1871252882.3981552</v>
      </c>
      <c r="J26">
        <v>1871252882.3981552</v>
      </c>
      <c r="K26" s="195">
        <f t="shared" si="1"/>
        <v>5746740.4580152677</v>
      </c>
      <c r="L26" s="195">
        <f t="shared" si="2"/>
        <v>2836819.3697156035</v>
      </c>
      <c r="M26" s="195">
        <f t="shared" si="3"/>
        <v>2239889.7002305919</v>
      </c>
      <c r="N26" s="195">
        <f t="shared" si="4"/>
        <v>5076709.0699461959</v>
      </c>
      <c r="O26" s="243">
        <v>26475</v>
      </c>
      <c r="Q26" s="195"/>
      <c r="R26" s="139"/>
      <c r="S26" s="115"/>
      <c r="T26" s="247"/>
    </row>
    <row r="27" spans="1:20" ht="13.15" x14ac:dyDescent="0.25">
      <c r="A27" t="s">
        <v>698</v>
      </c>
      <c r="C27" s="139" t="s">
        <v>175</v>
      </c>
      <c r="D27">
        <v>0.15939999999999999</v>
      </c>
      <c r="E27">
        <v>0.24660000000000001</v>
      </c>
      <c r="F27">
        <v>0.18820000000000001</v>
      </c>
      <c r="G27" s="247">
        <f t="shared" si="0"/>
        <v>244.68991546768299</v>
      </c>
      <c r="H27">
        <v>730846102.59826779</v>
      </c>
      <c r="I27">
        <v>167034043.59539554</v>
      </c>
      <c r="J27">
        <v>167034043.59539554</v>
      </c>
      <c r="K27" s="195">
        <f t="shared" si="1"/>
        <v>1164968.6875416387</v>
      </c>
      <c r="L27" s="195">
        <f t="shared" si="2"/>
        <v>411905.95150624542</v>
      </c>
      <c r="M27" s="195">
        <f t="shared" si="3"/>
        <v>314358.07004653441</v>
      </c>
      <c r="N27" s="195">
        <f t="shared" si="4"/>
        <v>726264.02155277983</v>
      </c>
      <c r="O27" s="243">
        <v>4761</v>
      </c>
      <c r="Q27" s="195"/>
      <c r="R27" s="139"/>
      <c r="S27" s="137"/>
      <c r="T27" s="247"/>
    </row>
    <row r="28" spans="1:20" ht="13.15" x14ac:dyDescent="0.25">
      <c r="A28" t="s">
        <v>699</v>
      </c>
      <c r="C28" s="139" t="s">
        <v>497</v>
      </c>
      <c r="D28">
        <v>0.15140000000000001</v>
      </c>
      <c r="E28">
        <v>0.26590000000000003</v>
      </c>
      <c r="F28">
        <v>0.2155</v>
      </c>
      <c r="G28" s="247">
        <f t="shared" si="0"/>
        <v>258.83921435430744</v>
      </c>
      <c r="H28">
        <v>1272312703.5830619</v>
      </c>
      <c r="I28">
        <v>371190060.18248886</v>
      </c>
      <c r="J28">
        <v>371190060.18248886</v>
      </c>
      <c r="K28" s="195">
        <f t="shared" si="1"/>
        <v>1926281.4332247558</v>
      </c>
      <c r="L28" s="195">
        <f t="shared" si="2"/>
        <v>986994.37002523791</v>
      </c>
      <c r="M28" s="195">
        <f t="shared" si="3"/>
        <v>799914.57969326351</v>
      </c>
      <c r="N28" s="195">
        <f t="shared" si="4"/>
        <v>1786908.9497185014</v>
      </c>
      <c r="O28" s="243">
        <v>7442</v>
      </c>
      <c r="Q28" s="195"/>
      <c r="R28" s="139"/>
      <c r="S28" s="137"/>
      <c r="T28" s="247"/>
    </row>
    <row r="29" spans="1:20" ht="13.15" x14ac:dyDescent="0.25">
      <c r="A29" t="s">
        <v>691</v>
      </c>
      <c r="C29" s="139" t="s">
        <v>323</v>
      </c>
      <c r="D29">
        <v>0.1187</v>
      </c>
      <c r="E29">
        <v>0.1187</v>
      </c>
      <c r="F29">
        <v>8.43E-2</v>
      </c>
      <c r="G29" s="247">
        <f t="shared" si="0"/>
        <v>309.00498608941746</v>
      </c>
      <c r="H29">
        <v>978559176.67238438</v>
      </c>
      <c r="I29">
        <v>195881466.59969863</v>
      </c>
      <c r="J29">
        <v>195881466.59969863</v>
      </c>
      <c r="K29" s="195">
        <f t="shared" si="1"/>
        <v>1161549.7427101203</v>
      </c>
      <c r="L29" s="195">
        <f t="shared" si="2"/>
        <v>232511.30085384229</v>
      </c>
      <c r="M29" s="195">
        <f t="shared" si="3"/>
        <v>165128.07634354595</v>
      </c>
      <c r="N29" s="195">
        <f t="shared" si="4"/>
        <v>397639.37719738821</v>
      </c>
      <c r="O29" s="243">
        <v>3759</v>
      </c>
      <c r="Q29" s="195"/>
      <c r="R29" s="139"/>
      <c r="S29" s="137"/>
      <c r="T29" s="247"/>
    </row>
    <row r="30" spans="1:20" ht="13.15" x14ac:dyDescent="0.25">
      <c r="A30" t="s">
        <v>699</v>
      </c>
      <c r="C30" s="139" t="s">
        <v>498</v>
      </c>
      <c r="D30">
        <v>0.114</v>
      </c>
      <c r="E30">
        <v>0.18540000000000001</v>
      </c>
      <c r="F30">
        <v>0.14949999999999999</v>
      </c>
      <c r="G30" s="247">
        <f t="shared" si="0"/>
        <v>191.53809948902841</v>
      </c>
      <c r="H30">
        <v>1075637642.9199648</v>
      </c>
      <c r="I30">
        <v>202051600.87037614</v>
      </c>
      <c r="J30">
        <v>202051600.87037614</v>
      </c>
      <c r="K30" s="195">
        <f t="shared" si="1"/>
        <v>1226226.9129287598</v>
      </c>
      <c r="L30" s="195">
        <f t="shared" si="2"/>
        <v>374603.66801367735</v>
      </c>
      <c r="M30" s="195">
        <f t="shared" si="3"/>
        <v>302067.14330121229</v>
      </c>
      <c r="N30" s="195">
        <f t="shared" si="4"/>
        <v>676670.8113148897</v>
      </c>
      <c r="O30" s="243">
        <v>6402</v>
      </c>
      <c r="Q30" s="195"/>
      <c r="R30" s="139"/>
      <c r="S30" s="137"/>
      <c r="T30" s="247"/>
    </row>
    <row r="31" spans="1:20" ht="13.15" x14ac:dyDescent="0.25">
      <c r="A31" t="s">
        <v>698</v>
      </c>
      <c r="C31" s="139" t="s">
        <v>176</v>
      </c>
      <c r="D31">
        <v>0.19</v>
      </c>
      <c r="E31">
        <v>0.19409999999999999</v>
      </c>
      <c r="F31">
        <v>0.155</v>
      </c>
      <c r="G31" s="247">
        <f t="shared" si="0"/>
        <v>271.67752947536582</v>
      </c>
      <c r="H31">
        <v>609844559.58549225</v>
      </c>
      <c r="I31">
        <v>130681818.18181819</v>
      </c>
      <c r="J31">
        <v>130681818.18181819</v>
      </c>
      <c r="K31" s="195">
        <f t="shared" si="1"/>
        <v>1158704.6632124353</v>
      </c>
      <c r="L31" s="195">
        <f t="shared" si="2"/>
        <v>253653.40909090909</v>
      </c>
      <c r="M31" s="195">
        <f t="shared" si="3"/>
        <v>202556.81818181821</v>
      </c>
      <c r="N31" s="195">
        <f t="shared" si="4"/>
        <v>456210.22727272729</v>
      </c>
      <c r="O31" s="243">
        <v>4265</v>
      </c>
      <c r="Q31" s="195"/>
      <c r="R31" s="139"/>
      <c r="S31" s="137"/>
      <c r="T31" s="247"/>
    </row>
    <row r="32" spans="1:20" ht="13.15" x14ac:dyDescent="0.25">
      <c r="A32" t="s">
        <v>692</v>
      </c>
      <c r="C32" s="139" t="s">
        <v>700</v>
      </c>
      <c r="D32">
        <v>0.1</v>
      </c>
      <c r="E32">
        <v>0.1958</v>
      </c>
      <c r="F32">
        <v>0.1588</v>
      </c>
      <c r="G32" s="247">
        <f t="shared" si="0"/>
        <v>165.42533316726866</v>
      </c>
      <c r="H32">
        <v>2656400000</v>
      </c>
      <c r="I32">
        <v>399000000</v>
      </c>
      <c r="J32">
        <v>399000000</v>
      </c>
      <c r="K32" s="195">
        <f t="shared" si="1"/>
        <v>2656400</v>
      </c>
      <c r="L32" s="195">
        <f t="shared" si="2"/>
        <v>781242</v>
      </c>
      <c r="M32" s="195">
        <f t="shared" si="3"/>
        <v>633612</v>
      </c>
      <c r="N32" s="195">
        <f t="shared" si="4"/>
        <v>1414854</v>
      </c>
      <c r="O32" s="243">
        <v>16058</v>
      </c>
      <c r="Q32" s="195"/>
      <c r="R32" s="139"/>
      <c r="S32" s="137"/>
      <c r="T32" s="247"/>
    </row>
    <row r="33" spans="1:20" ht="13.15" x14ac:dyDescent="0.25">
      <c r="A33" t="s">
        <v>690</v>
      </c>
      <c r="C33" s="139" t="s">
        <v>438</v>
      </c>
      <c r="D33">
        <v>0.106</v>
      </c>
      <c r="E33">
        <v>0.15989999999999999</v>
      </c>
      <c r="F33">
        <v>0.12790000000000001</v>
      </c>
      <c r="G33" s="247">
        <f t="shared" si="0"/>
        <v>248.36275125181621</v>
      </c>
      <c r="H33">
        <v>2010566762.7281461</v>
      </c>
      <c r="I33">
        <v>537735849.05660379</v>
      </c>
      <c r="J33">
        <v>537735849.05660379</v>
      </c>
      <c r="K33" s="195">
        <f t="shared" si="1"/>
        <v>2131200.7684918349</v>
      </c>
      <c r="L33" s="195">
        <f t="shared" si="2"/>
        <v>859839.62264150928</v>
      </c>
      <c r="M33" s="195">
        <f t="shared" si="3"/>
        <v>687764.15094339638</v>
      </c>
      <c r="N33" s="195">
        <f t="shared" si="4"/>
        <v>1547603.7735849055</v>
      </c>
      <c r="O33" s="243">
        <v>8581</v>
      </c>
      <c r="Q33" s="195"/>
      <c r="R33" s="139"/>
      <c r="S33" s="137"/>
      <c r="T33" s="247"/>
    </row>
    <row r="34" spans="1:20" ht="13.15" x14ac:dyDescent="0.25">
      <c r="A34" t="s">
        <v>699</v>
      </c>
      <c r="C34" s="139" t="s">
        <v>537</v>
      </c>
      <c r="D34">
        <v>0.12422</v>
      </c>
      <c r="E34">
        <v>0.19516</v>
      </c>
      <c r="F34">
        <v>0.15753</v>
      </c>
      <c r="G34" s="247">
        <f t="shared" si="0"/>
        <v>245.03226744373501</v>
      </c>
      <c r="H34">
        <v>1113316790.7361457</v>
      </c>
      <c r="I34">
        <v>229356454.49485928</v>
      </c>
      <c r="J34">
        <v>229356454.49485928</v>
      </c>
      <c r="K34" s="195">
        <f t="shared" si="1"/>
        <v>1382962.1174524403</v>
      </c>
      <c r="L34" s="195">
        <f t="shared" si="2"/>
        <v>447612.05659216741</v>
      </c>
      <c r="M34" s="195">
        <f t="shared" si="3"/>
        <v>361305.22276575188</v>
      </c>
      <c r="N34" s="195">
        <f t="shared" si="4"/>
        <v>808917.27935791924</v>
      </c>
      <c r="O34" s="243">
        <v>5644</v>
      </c>
      <c r="Q34" s="195"/>
      <c r="R34" s="139"/>
      <c r="S34" s="137"/>
      <c r="T34" s="247"/>
    </row>
    <row r="35" spans="1:20" ht="13.15" x14ac:dyDescent="0.25">
      <c r="A35" t="s">
        <v>691</v>
      </c>
      <c r="C35" s="139" t="s">
        <v>538</v>
      </c>
      <c r="D35">
        <v>0.113</v>
      </c>
      <c r="E35">
        <v>0.16500000000000001</v>
      </c>
      <c r="F35">
        <v>0.13800000000000001</v>
      </c>
      <c r="G35" s="247">
        <f t="shared" si="0"/>
        <v>308.17971276960452</v>
      </c>
      <c r="H35">
        <v>5135964912.2807016</v>
      </c>
      <c r="I35">
        <v>726190476.1904763</v>
      </c>
      <c r="J35">
        <v>726190476.1904763</v>
      </c>
      <c r="K35" s="195">
        <f t="shared" si="1"/>
        <v>5803640.3508771928</v>
      </c>
      <c r="L35" s="195">
        <f t="shared" si="2"/>
        <v>1198214.2857142859</v>
      </c>
      <c r="M35" s="195">
        <f t="shared" si="3"/>
        <v>1002142.8571428573</v>
      </c>
      <c r="N35" s="195">
        <f t="shared" si="4"/>
        <v>2200357.1428571432</v>
      </c>
      <c r="O35" s="243">
        <v>18832</v>
      </c>
      <c r="Q35" s="195"/>
      <c r="R35" s="139"/>
      <c r="S35" s="137"/>
      <c r="T35" s="247"/>
    </row>
    <row r="36" spans="1:20" ht="13.15" x14ac:dyDescent="0.25">
      <c r="A36" t="s">
        <v>690</v>
      </c>
      <c r="C36" s="139" t="s">
        <v>439</v>
      </c>
      <c r="D36">
        <v>0.1103</v>
      </c>
      <c r="E36">
        <v>0.254</v>
      </c>
      <c r="F36">
        <v>0.2109</v>
      </c>
      <c r="G36" s="247">
        <f t="shared" si="0"/>
        <v>211.32648055543041</v>
      </c>
      <c r="H36">
        <v>5793755912.9612112</v>
      </c>
      <c r="I36">
        <v>1558552631.5789473</v>
      </c>
      <c r="J36">
        <v>1558552631.5789473</v>
      </c>
      <c r="K36" s="195">
        <f t="shared" si="1"/>
        <v>6390512.7719962159</v>
      </c>
      <c r="L36" s="195">
        <f t="shared" si="2"/>
        <v>3958723.6842105263</v>
      </c>
      <c r="M36" s="195">
        <f t="shared" si="3"/>
        <v>3286987.5</v>
      </c>
      <c r="N36" s="195">
        <f t="shared" si="4"/>
        <v>7245711.1842105258</v>
      </c>
      <c r="O36" s="243">
        <v>30240</v>
      </c>
      <c r="Q36" s="195"/>
      <c r="R36" s="139"/>
      <c r="S36" s="137"/>
      <c r="T36" s="247"/>
    </row>
    <row r="37" spans="1:20" ht="13.15" x14ac:dyDescent="0.25">
      <c r="A37" t="s">
        <v>692</v>
      </c>
      <c r="C37" s="139" t="s">
        <v>245</v>
      </c>
      <c r="D37">
        <v>0.12090000000000001</v>
      </c>
      <c r="E37">
        <v>0.14899999999999999</v>
      </c>
      <c r="F37">
        <v>0.11780000000000002</v>
      </c>
      <c r="G37" s="247">
        <f t="shared" si="0"/>
        <v>223.62018610367051</v>
      </c>
      <c r="H37">
        <v>3713870733.4785767</v>
      </c>
      <c r="I37">
        <v>1171900826.446281</v>
      </c>
      <c r="J37">
        <v>1171900826.446281</v>
      </c>
      <c r="K37" s="195">
        <f t="shared" si="1"/>
        <v>4490069.7167755999</v>
      </c>
      <c r="L37" s="195">
        <f t="shared" si="2"/>
        <v>1746132.2314049588</v>
      </c>
      <c r="M37" s="195">
        <f t="shared" si="3"/>
        <v>1380499.1735537192</v>
      </c>
      <c r="N37" s="195">
        <f t="shared" si="4"/>
        <v>3126631.4049586779</v>
      </c>
      <c r="O37" s="243">
        <v>20079</v>
      </c>
      <c r="Q37" s="195"/>
      <c r="R37" s="139"/>
      <c r="S37" s="137"/>
      <c r="T37" s="247"/>
    </row>
    <row r="38" spans="1:20" ht="13.15" x14ac:dyDescent="0.25">
      <c r="A38" t="s">
        <v>690</v>
      </c>
      <c r="C38" s="139" t="s">
        <v>440</v>
      </c>
      <c r="D38">
        <v>0.12839999999999999</v>
      </c>
      <c r="E38">
        <v>0.24970000000000001</v>
      </c>
      <c r="F38">
        <v>0.19489999999999999</v>
      </c>
      <c r="G38" s="247">
        <f t="shared" si="0"/>
        <v>325.07003035645505</v>
      </c>
      <c r="H38">
        <v>3057784911.7174959</v>
      </c>
      <c r="I38">
        <v>596452866.86103022</v>
      </c>
      <c r="J38">
        <v>596452866.86103022</v>
      </c>
      <c r="K38" s="195">
        <f t="shared" si="1"/>
        <v>3926195.8266452644</v>
      </c>
      <c r="L38" s="195">
        <f t="shared" si="2"/>
        <v>1489342.8085519925</v>
      </c>
      <c r="M38" s="195">
        <f t="shared" si="3"/>
        <v>1162486.6375121479</v>
      </c>
      <c r="N38" s="195">
        <f t="shared" si="4"/>
        <v>2651829.4460641406</v>
      </c>
      <c r="O38" s="243">
        <v>12078</v>
      </c>
      <c r="Q38" s="195"/>
      <c r="R38" s="139"/>
      <c r="S38" s="137"/>
      <c r="T38" s="247"/>
    </row>
    <row r="39" spans="1:20" ht="13.15" x14ac:dyDescent="0.25">
      <c r="A39" t="s">
        <v>690</v>
      </c>
      <c r="C39" s="139" t="s">
        <v>441</v>
      </c>
      <c r="D39">
        <v>9.9599999999999994E-2</v>
      </c>
      <c r="E39">
        <v>0.16159999999999999</v>
      </c>
      <c r="F39">
        <v>0.13100000000000001</v>
      </c>
      <c r="G39" s="247">
        <f t="shared" si="0"/>
        <v>247.27795531060531</v>
      </c>
      <c r="H39">
        <v>2998369343.6608238</v>
      </c>
      <c r="I39">
        <v>707596253.9021852</v>
      </c>
      <c r="J39">
        <v>707596253.9021852</v>
      </c>
      <c r="K39" s="195">
        <f t="shared" si="1"/>
        <v>2986375.8662861804</v>
      </c>
      <c r="L39" s="195">
        <f t="shared" si="2"/>
        <v>1143475.5463059312</v>
      </c>
      <c r="M39" s="195">
        <f t="shared" si="3"/>
        <v>926951.0926118627</v>
      </c>
      <c r="N39" s="195">
        <f t="shared" si="4"/>
        <v>2070426.638917794</v>
      </c>
      <c r="O39" s="243">
        <v>12077</v>
      </c>
      <c r="Q39" s="195"/>
      <c r="R39" s="139"/>
      <c r="S39" s="137"/>
      <c r="T39" s="247"/>
    </row>
    <row r="40" spans="1:20" ht="13.15" x14ac:dyDescent="0.25">
      <c r="A40" t="s">
        <v>692</v>
      </c>
      <c r="C40" s="139" t="s">
        <v>246</v>
      </c>
      <c r="D40">
        <v>0.17919599999999999</v>
      </c>
      <c r="E40">
        <v>0.45843</v>
      </c>
      <c r="F40">
        <v>0.36052000000000001</v>
      </c>
      <c r="G40" s="247">
        <f t="shared" si="0"/>
        <v>385.67297448109639</v>
      </c>
      <c r="H40">
        <v>2352614614.1949959</v>
      </c>
      <c r="I40">
        <v>410821792.9756943</v>
      </c>
      <c r="J40">
        <v>410821792.9756943</v>
      </c>
      <c r="K40" s="195">
        <f t="shared" si="1"/>
        <v>4215791.2840528646</v>
      </c>
      <c r="L40" s="195">
        <f t="shared" si="2"/>
        <v>1883330.3455384756</v>
      </c>
      <c r="M40" s="195">
        <f t="shared" si="3"/>
        <v>1481094.7280359729</v>
      </c>
      <c r="N40" s="195">
        <f t="shared" si="4"/>
        <v>3364425.0735744485</v>
      </c>
      <c r="O40" s="243">
        <v>10931</v>
      </c>
      <c r="Q40" s="195"/>
      <c r="R40" s="139"/>
      <c r="S40" s="137"/>
      <c r="T40" s="247"/>
    </row>
    <row r="41" spans="1:20" ht="13.15" x14ac:dyDescent="0.25">
      <c r="A41" t="s">
        <v>691</v>
      </c>
      <c r="C41" s="139" t="s">
        <v>324</v>
      </c>
      <c r="D41">
        <v>0.12820000000000001</v>
      </c>
      <c r="E41">
        <v>0.24099999999999999</v>
      </c>
      <c r="F41">
        <v>0.2019</v>
      </c>
      <c r="G41" s="247">
        <f t="shared" si="0"/>
        <v>220.70413811577626</v>
      </c>
      <c r="H41">
        <v>3259087393.6581593</v>
      </c>
      <c r="I41">
        <v>1023466542.7509294</v>
      </c>
      <c r="J41">
        <v>1023466542.7509294</v>
      </c>
      <c r="K41" s="195">
        <f t="shared" si="1"/>
        <v>4178150.0386697603</v>
      </c>
      <c r="L41" s="195">
        <f t="shared" si="2"/>
        <v>2466554.3680297397</v>
      </c>
      <c r="M41" s="195">
        <f t="shared" si="3"/>
        <v>2066378.9498141261</v>
      </c>
      <c r="N41" s="195">
        <f t="shared" si="4"/>
        <v>4532933.3178438656</v>
      </c>
      <c r="O41" s="243">
        <v>18931</v>
      </c>
      <c r="Q41" s="195"/>
      <c r="R41" s="139"/>
      <c r="S41" s="137"/>
      <c r="T41" s="247"/>
    </row>
    <row r="42" spans="1:20" ht="13.15" x14ac:dyDescent="0.25">
      <c r="A42" t="s">
        <v>694</v>
      </c>
      <c r="C42" s="139" t="s">
        <v>368</v>
      </c>
      <c r="D42">
        <v>9.5699999999999993E-2</v>
      </c>
      <c r="E42">
        <v>0.23599999999999999</v>
      </c>
      <c r="F42">
        <v>0.21190000000000001</v>
      </c>
      <c r="G42" s="247">
        <f t="shared" si="0"/>
        <v>212.7188287849971</v>
      </c>
      <c r="H42">
        <v>2811800610.3763986</v>
      </c>
      <c r="I42">
        <v>559927634.5545001</v>
      </c>
      <c r="J42">
        <v>559927634.5545001</v>
      </c>
      <c r="K42" s="195">
        <f t="shared" si="1"/>
        <v>2690893.1841302132</v>
      </c>
      <c r="L42" s="195">
        <f t="shared" si="2"/>
        <v>1321429.2175486202</v>
      </c>
      <c r="M42" s="195">
        <f t="shared" si="3"/>
        <v>1186486.6576209858</v>
      </c>
      <c r="N42" s="195">
        <f t="shared" si="4"/>
        <v>2507915.8751696059</v>
      </c>
      <c r="O42" s="243">
        <v>12650</v>
      </c>
      <c r="Q42" s="195"/>
      <c r="R42" s="139"/>
      <c r="S42" s="137"/>
      <c r="T42" s="247"/>
    </row>
    <row r="43" spans="1:20" ht="13.15" x14ac:dyDescent="0.25">
      <c r="A43" t="s">
        <v>690</v>
      </c>
      <c r="C43" s="139" t="s">
        <v>442</v>
      </c>
      <c r="D43">
        <v>9.9400000000000002E-2</v>
      </c>
      <c r="E43">
        <v>0.15609999999999999</v>
      </c>
      <c r="F43">
        <v>0.14019999999999999</v>
      </c>
      <c r="G43" s="247">
        <f t="shared" si="0"/>
        <v>234.71565370847873</v>
      </c>
      <c r="H43">
        <v>2141012909.6325722</v>
      </c>
      <c r="I43">
        <v>637913399.24991477</v>
      </c>
      <c r="J43">
        <v>637913399.24991477</v>
      </c>
      <c r="K43" s="195">
        <f t="shared" si="1"/>
        <v>2128166.8321747766</v>
      </c>
      <c r="L43" s="195">
        <f t="shared" si="2"/>
        <v>995782.81622911687</v>
      </c>
      <c r="M43" s="195">
        <f t="shared" si="3"/>
        <v>894354.5857483804</v>
      </c>
      <c r="N43" s="195">
        <f t="shared" si="4"/>
        <v>1890137.4019774972</v>
      </c>
      <c r="O43" s="243">
        <v>9067</v>
      </c>
      <c r="Q43" s="195"/>
      <c r="R43" s="139"/>
      <c r="S43" s="137"/>
      <c r="T43" s="247"/>
    </row>
    <row r="44" spans="1:20" ht="13.15" x14ac:dyDescent="0.25">
      <c r="A44" t="s">
        <v>691</v>
      </c>
      <c r="C44" s="139" t="s">
        <v>325</v>
      </c>
      <c r="D44">
        <v>0.13153200000000001</v>
      </c>
      <c r="E44">
        <v>0.36156899999999997</v>
      </c>
      <c r="F44">
        <v>0.28873199999999999</v>
      </c>
      <c r="G44" s="247">
        <f t="shared" si="0"/>
        <v>615.60444868722811</v>
      </c>
      <c r="H44">
        <v>2047147354.680181</v>
      </c>
      <c r="I44">
        <v>213865704.14157072</v>
      </c>
      <c r="J44">
        <v>213865704.14157072</v>
      </c>
      <c r="K44" s="195">
        <f t="shared" si="1"/>
        <v>2692653.8585579358</v>
      </c>
      <c r="L44" s="195">
        <f t="shared" si="2"/>
        <v>773272.08780763578</v>
      </c>
      <c r="M44" s="195">
        <f t="shared" si="3"/>
        <v>617498.72488203994</v>
      </c>
      <c r="N44" s="195">
        <f t="shared" si="4"/>
        <v>1390770.8126896757</v>
      </c>
      <c r="O44" s="243">
        <v>4374</v>
      </c>
      <c r="Q44" s="195"/>
      <c r="R44" s="139"/>
      <c r="S44" s="137"/>
      <c r="T44" s="247"/>
    </row>
    <row r="45" spans="1:20" ht="13.15" x14ac:dyDescent="0.25">
      <c r="A45" t="s">
        <v>691</v>
      </c>
      <c r="C45" s="139" t="s">
        <v>326</v>
      </c>
      <c r="D45">
        <v>0.1085</v>
      </c>
      <c r="E45">
        <v>0.25969999999999999</v>
      </c>
      <c r="F45">
        <v>0.17430000000000001</v>
      </c>
      <c r="G45" s="247">
        <f t="shared" si="0"/>
        <v>540.15968026360713</v>
      </c>
      <c r="H45">
        <v>4936113575.8651285</v>
      </c>
      <c r="I45">
        <v>337650736.93613225</v>
      </c>
      <c r="J45">
        <v>337650736.93613225</v>
      </c>
      <c r="K45" s="195">
        <f t="shared" si="1"/>
        <v>5355683.2298136642</v>
      </c>
      <c r="L45" s="195">
        <f t="shared" si="2"/>
        <v>876878.96382313536</v>
      </c>
      <c r="M45" s="195">
        <f t="shared" si="3"/>
        <v>588525.23447967856</v>
      </c>
      <c r="N45" s="195">
        <f t="shared" si="4"/>
        <v>1465404.1983028138</v>
      </c>
      <c r="O45" s="243">
        <v>9915</v>
      </c>
      <c r="Q45" s="195"/>
      <c r="R45" s="139"/>
      <c r="S45" s="137"/>
      <c r="T45" s="247"/>
    </row>
    <row r="46" spans="1:20" ht="13.15" x14ac:dyDescent="0.25">
      <c r="A46" t="s">
        <v>694</v>
      </c>
      <c r="C46" s="139" t="s">
        <v>369</v>
      </c>
      <c r="D46">
        <v>0.15029999999999999</v>
      </c>
      <c r="E46">
        <v>0.23780000000000001</v>
      </c>
      <c r="F46">
        <v>0.1837</v>
      </c>
      <c r="G46" s="247">
        <f t="shared" si="0"/>
        <v>375.60819823930359</v>
      </c>
      <c r="H46">
        <v>3523169912.6930823</v>
      </c>
      <c r="I46">
        <v>692005885.23786175</v>
      </c>
      <c r="J46">
        <v>692005885.23786175</v>
      </c>
      <c r="K46" s="195">
        <f t="shared" si="1"/>
        <v>5295324.3787777023</v>
      </c>
      <c r="L46" s="195">
        <f t="shared" si="2"/>
        <v>1645589.9950956353</v>
      </c>
      <c r="M46" s="195">
        <f t="shared" si="3"/>
        <v>1271214.811181952</v>
      </c>
      <c r="N46" s="195">
        <f t="shared" si="4"/>
        <v>2916804.8062775871</v>
      </c>
      <c r="O46" s="243">
        <v>14098</v>
      </c>
      <c r="Q46" s="195"/>
      <c r="R46" s="139"/>
      <c r="S46" s="137"/>
      <c r="T46" s="247"/>
    </row>
    <row r="47" spans="1:20" ht="13.15" x14ac:dyDescent="0.25">
      <c r="A47" t="s">
        <v>690</v>
      </c>
      <c r="C47" s="139" t="s">
        <v>443</v>
      </c>
      <c r="D47">
        <v>0.17096</v>
      </c>
      <c r="E47">
        <v>0.25019000000000002</v>
      </c>
      <c r="F47">
        <v>0.20130999999999999</v>
      </c>
      <c r="G47" s="247">
        <f t="shared" si="0"/>
        <v>372.37352771150552</v>
      </c>
      <c r="H47">
        <v>905667482.58331776</v>
      </c>
      <c r="I47">
        <v>295389229.03911036</v>
      </c>
      <c r="J47">
        <v>295389229.03911036</v>
      </c>
      <c r="K47" s="195">
        <f t="shared" si="1"/>
        <v>1548329.1282244399</v>
      </c>
      <c r="L47" s="195">
        <f t="shared" si="2"/>
        <v>739034.31213295029</v>
      </c>
      <c r="M47" s="195">
        <f t="shared" si="3"/>
        <v>594648.05697863305</v>
      </c>
      <c r="N47" s="195">
        <f t="shared" si="4"/>
        <v>1333682.3691115833</v>
      </c>
      <c r="O47" s="243">
        <v>4158</v>
      </c>
      <c r="Q47" s="195"/>
      <c r="R47" s="139"/>
      <c r="S47" s="137"/>
      <c r="T47" s="247"/>
    </row>
    <row r="48" spans="1:20" x14ac:dyDescent="0.2">
      <c r="A48" t="s">
        <v>689</v>
      </c>
      <c r="C48" s="139" t="s">
        <v>163</v>
      </c>
      <c r="D48">
        <v>0.21579999999999999</v>
      </c>
      <c r="E48">
        <v>0.21579999999999999</v>
      </c>
      <c r="F48">
        <v>0.1323</v>
      </c>
      <c r="G48" s="247">
        <f t="shared" si="0"/>
        <v>340.77292276354689</v>
      </c>
      <c r="H48">
        <v>1899516908.2125604</v>
      </c>
      <c r="I48">
        <v>451690821.25603867</v>
      </c>
      <c r="J48">
        <v>451690821.25603867</v>
      </c>
      <c r="K48" s="195">
        <f t="shared" si="1"/>
        <v>4099157.4879227052</v>
      </c>
      <c r="L48" s="195">
        <f t="shared" si="2"/>
        <v>974748.79227053141</v>
      </c>
      <c r="M48" s="195">
        <f t="shared" si="3"/>
        <v>597586.95652173914</v>
      </c>
      <c r="N48" s="195">
        <f t="shared" si="4"/>
        <v>1572335.7487922707</v>
      </c>
      <c r="O48" s="243">
        <v>12029</v>
      </c>
      <c r="Q48" s="195"/>
      <c r="R48" s="139"/>
      <c r="S48" s="137"/>
      <c r="T48" s="247"/>
    </row>
    <row r="49" spans="1:20" x14ac:dyDescent="0.2">
      <c r="A49" t="s">
        <v>695</v>
      </c>
      <c r="C49" s="139" t="s">
        <v>218</v>
      </c>
      <c r="D49">
        <v>0.17019999999999999</v>
      </c>
      <c r="E49">
        <v>0.31309999999999999</v>
      </c>
      <c r="F49">
        <v>0.25030000000000002</v>
      </c>
      <c r="G49" s="247">
        <f t="shared" si="0"/>
        <v>339.04961318523493</v>
      </c>
      <c r="H49">
        <v>1861983980.2834258</v>
      </c>
      <c r="I49">
        <v>316115702.47933882</v>
      </c>
      <c r="J49">
        <v>316115702.47933882</v>
      </c>
      <c r="K49" s="195">
        <f t="shared" si="1"/>
        <v>3169096.734442391</v>
      </c>
      <c r="L49" s="195">
        <f t="shared" si="2"/>
        <v>989758.26446280989</v>
      </c>
      <c r="M49" s="195">
        <f t="shared" si="3"/>
        <v>791237.60330578522</v>
      </c>
      <c r="N49" s="195">
        <f t="shared" si="4"/>
        <v>1780995.867768595</v>
      </c>
      <c r="O49" s="243">
        <v>9347</v>
      </c>
      <c r="Q49" s="195"/>
      <c r="R49" s="139"/>
      <c r="S49" s="137"/>
      <c r="T49" s="247"/>
    </row>
    <row r="50" spans="1:20" x14ac:dyDescent="0.2">
      <c r="A50" t="s">
        <v>701</v>
      </c>
      <c r="C50" s="139" t="s">
        <v>421</v>
      </c>
      <c r="D50">
        <v>0.1293</v>
      </c>
      <c r="E50">
        <v>0.2258</v>
      </c>
      <c r="F50">
        <v>0.19900000000000001</v>
      </c>
      <c r="G50" s="247">
        <f t="shared" si="0"/>
        <v>251.13137313418397</v>
      </c>
      <c r="H50">
        <v>1954474097.3312399</v>
      </c>
      <c r="I50">
        <v>1219647598.3586774</v>
      </c>
      <c r="J50">
        <v>1219647598.3586774</v>
      </c>
      <c r="K50" s="195">
        <f t="shared" si="1"/>
        <v>2527135.0078492933</v>
      </c>
      <c r="L50" s="195">
        <f t="shared" si="2"/>
        <v>2753964.2770938934</v>
      </c>
      <c r="M50" s="195">
        <f t="shared" si="3"/>
        <v>2427098.7207337678</v>
      </c>
      <c r="N50" s="195">
        <f t="shared" si="4"/>
        <v>5181062.9978276612</v>
      </c>
      <c r="O50" s="243">
        <v>10063</v>
      </c>
      <c r="Q50" s="195"/>
      <c r="R50" s="139"/>
      <c r="S50" s="137"/>
      <c r="T50" s="247"/>
    </row>
    <row r="51" spans="1:20" x14ac:dyDescent="0.2">
      <c r="A51" t="s">
        <v>690</v>
      </c>
      <c r="C51" s="139" t="s">
        <v>444</v>
      </c>
      <c r="D51">
        <v>0.11609999999999999</v>
      </c>
      <c r="E51">
        <v>0.2137</v>
      </c>
      <c r="F51">
        <v>0.16739999999999999</v>
      </c>
      <c r="G51" s="247">
        <f t="shared" si="0"/>
        <v>262.35371051411067</v>
      </c>
      <c r="H51">
        <v>2800699300.6993008</v>
      </c>
      <c r="I51">
        <v>800776914.5394007</v>
      </c>
      <c r="J51">
        <v>800776914.5394007</v>
      </c>
      <c r="K51" s="195">
        <f t="shared" si="1"/>
        <v>3251611.888111888</v>
      </c>
      <c r="L51" s="195">
        <f t="shared" si="2"/>
        <v>1711260.2663706995</v>
      </c>
      <c r="M51" s="195">
        <f t="shared" si="3"/>
        <v>1340500.5549389566</v>
      </c>
      <c r="N51" s="195">
        <f t="shared" si="4"/>
        <v>3051760.8213096559</v>
      </c>
      <c r="O51" s="243">
        <v>12394</v>
      </c>
      <c r="Q51" s="195"/>
      <c r="R51" s="139"/>
      <c r="S51" s="137"/>
      <c r="T51" s="247"/>
    </row>
    <row r="52" spans="1:20" x14ac:dyDescent="0.2">
      <c r="A52" t="s">
        <v>690</v>
      </c>
      <c r="C52" s="139" t="s">
        <v>445</v>
      </c>
      <c r="D52">
        <v>0.1283</v>
      </c>
      <c r="E52">
        <v>0.24329999999999999</v>
      </c>
      <c r="F52">
        <v>0.1946</v>
      </c>
      <c r="G52" s="247">
        <f t="shared" si="0"/>
        <v>287.50627304346307</v>
      </c>
      <c r="H52">
        <v>3036855036.8550367</v>
      </c>
      <c r="I52">
        <v>673549398.84997368</v>
      </c>
      <c r="J52">
        <v>673549398.84997368</v>
      </c>
      <c r="K52" s="195">
        <f t="shared" si="1"/>
        <v>3896285.0122850118</v>
      </c>
      <c r="L52" s="195">
        <f t="shared" si="2"/>
        <v>1638745.6874019857</v>
      </c>
      <c r="M52" s="195">
        <f t="shared" si="3"/>
        <v>1310727.1301620489</v>
      </c>
      <c r="N52" s="195">
        <f t="shared" si="4"/>
        <v>2949472.8175640348</v>
      </c>
      <c r="O52" s="243">
        <v>13552</v>
      </c>
      <c r="Q52" s="195"/>
      <c r="R52" s="139"/>
      <c r="S52" s="137"/>
      <c r="T52" s="247"/>
    </row>
    <row r="53" spans="1:20" x14ac:dyDescent="0.2">
      <c r="A53" s="119" t="s">
        <v>690</v>
      </c>
      <c r="B53" s="119"/>
      <c r="C53" s="139" t="s">
        <v>446</v>
      </c>
      <c r="D53">
        <v>0.1028</v>
      </c>
      <c r="E53">
        <v>0.1981</v>
      </c>
      <c r="F53">
        <v>0.15840000000000001</v>
      </c>
      <c r="G53" s="247">
        <f t="shared" si="0"/>
        <v>220.7355116363147</v>
      </c>
      <c r="H53">
        <v>17983931947.069942</v>
      </c>
      <c r="I53">
        <v>4796767434.8997307</v>
      </c>
      <c r="J53">
        <v>4796767434.8997307</v>
      </c>
      <c r="K53" s="195">
        <f t="shared" si="1"/>
        <v>18487482.0415879</v>
      </c>
      <c r="L53" s="195">
        <f t="shared" si="2"/>
        <v>9502396.2885363661</v>
      </c>
      <c r="M53" s="195">
        <f t="shared" si="3"/>
        <v>7598079.616881174</v>
      </c>
      <c r="N53" s="195">
        <f t="shared" si="4"/>
        <v>17100475.905417539</v>
      </c>
      <c r="O53" s="243">
        <v>83754</v>
      </c>
      <c r="Q53" s="195"/>
      <c r="R53" s="139"/>
      <c r="S53" s="137"/>
      <c r="T53" s="247"/>
    </row>
    <row r="54" spans="1:20" x14ac:dyDescent="0.2">
      <c r="A54" t="s">
        <v>694</v>
      </c>
      <c r="C54" s="139" t="s">
        <v>370</v>
      </c>
      <c r="D54">
        <v>0.10589999999999999</v>
      </c>
      <c r="E54">
        <v>0.1212</v>
      </c>
      <c r="F54">
        <v>0.1002</v>
      </c>
      <c r="G54" s="247">
        <f t="shared" si="0"/>
        <v>224.33670634805807</v>
      </c>
      <c r="H54">
        <v>1638992537.3134327</v>
      </c>
      <c r="I54">
        <v>365967365.96736598</v>
      </c>
      <c r="J54">
        <v>365967365.96736598</v>
      </c>
      <c r="K54" s="195">
        <f t="shared" si="1"/>
        <v>1735693.0970149252</v>
      </c>
      <c r="L54" s="195">
        <f t="shared" si="2"/>
        <v>443552.44755244756</v>
      </c>
      <c r="M54" s="195">
        <f t="shared" si="3"/>
        <v>366699.30069930071</v>
      </c>
      <c r="N54" s="195">
        <f t="shared" si="4"/>
        <v>810251.74825174827</v>
      </c>
      <c r="O54" s="243">
        <v>7737</v>
      </c>
      <c r="Q54" s="195"/>
      <c r="R54" s="139"/>
      <c r="S54" s="137"/>
      <c r="T54" s="247"/>
    </row>
    <row r="55" spans="1:20" x14ac:dyDescent="0.2">
      <c r="A55" t="s">
        <v>692</v>
      </c>
      <c r="C55" s="139" t="s">
        <v>247</v>
      </c>
      <c r="D55">
        <v>0.12939999999999999</v>
      </c>
      <c r="E55">
        <v>0.18459999999999999</v>
      </c>
      <c r="F55">
        <v>0.1414</v>
      </c>
      <c r="G55" s="247">
        <f t="shared" si="0"/>
        <v>280.01669438039892</v>
      </c>
      <c r="H55">
        <v>3580491673.2751789</v>
      </c>
      <c r="I55">
        <v>676601141.40773618</v>
      </c>
      <c r="J55">
        <v>676601141.40773618</v>
      </c>
      <c r="K55" s="195">
        <f t="shared" si="1"/>
        <v>4633156.2252180809</v>
      </c>
      <c r="L55" s="195">
        <f t="shared" si="2"/>
        <v>1249005.707038681</v>
      </c>
      <c r="M55" s="195">
        <f t="shared" si="3"/>
        <v>956714.01395053894</v>
      </c>
      <c r="N55" s="195">
        <f t="shared" si="4"/>
        <v>2205719.7209892198</v>
      </c>
      <c r="O55" s="243">
        <v>16546</v>
      </c>
      <c r="Q55" s="195"/>
      <c r="R55" s="139"/>
      <c r="S55" s="137"/>
      <c r="T55" s="247"/>
    </row>
    <row r="56" spans="1:20" x14ac:dyDescent="0.2">
      <c r="A56" t="s">
        <v>692</v>
      </c>
      <c r="C56" s="139" t="s">
        <v>248</v>
      </c>
      <c r="D56">
        <v>0.108</v>
      </c>
      <c r="E56">
        <v>0.21199999999999999</v>
      </c>
      <c r="F56">
        <v>0.16900000000000001</v>
      </c>
      <c r="G56" s="247">
        <f t="shared" si="0"/>
        <v>233.87179751003185</v>
      </c>
      <c r="H56">
        <v>2104629629.6296294</v>
      </c>
      <c r="I56">
        <v>367473118.27956986</v>
      </c>
      <c r="J56">
        <v>367473118.27956986</v>
      </c>
      <c r="K56" s="195">
        <f t="shared" si="1"/>
        <v>2272999.9999999995</v>
      </c>
      <c r="L56" s="195">
        <f t="shared" si="2"/>
        <v>779043.01075268805</v>
      </c>
      <c r="M56" s="195">
        <f t="shared" si="3"/>
        <v>621029.56989247317</v>
      </c>
      <c r="N56" s="195">
        <f t="shared" si="4"/>
        <v>1400072.5806451612</v>
      </c>
      <c r="O56" s="243">
        <v>9719</v>
      </c>
      <c r="Q56" s="195"/>
      <c r="R56" s="139"/>
      <c r="S56" s="137"/>
      <c r="T56" s="247"/>
    </row>
    <row r="57" spans="1:20" x14ac:dyDescent="0.2">
      <c r="A57" t="s">
        <v>699</v>
      </c>
      <c r="C57" s="139" t="s">
        <v>499</v>
      </c>
      <c r="D57">
        <v>0.17480000000000001</v>
      </c>
      <c r="E57">
        <v>0.25490000000000002</v>
      </c>
      <c r="F57">
        <v>0.2014</v>
      </c>
      <c r="G57" s="247">
        <f t="shared" si="0"/>
        <v>227.14252929172636</v>
      </c>
      <c r="H57">
        <v>1902383654.9375708</v>
      </c>
      <c r="I57">
        <v>387823888.77185589</v>
      </c>
      <c r="J57">
        <v>387823888.77185589</v>
      </c>
      <c r="K57" s="195">
        <f t="shared" si="1"/>
        <v>3325366.6288308739</v>
      </c>
      <c r="L57" s="195">
        <f t="shared" si="2"/>
        <v>988563.09247946064</v>
      </c>
      <c r="M57" s="195">
        <f t="shared" si="3"/>
        <v>781077.31198651774</v>
      </c>
      <c r="N57" s="195">
        <f t="shared" si="4"/>
        <v>1769640.4044659785</v>
      </c>
      <c r="O57" s="243">
        <v>14640</v>
      </c>
      <c r="Q57" s="195"/>
      <c r="R57" s="139"/>
      <c r="S57" s="137"/>
      <c r="T57" s="247"/>
    </row>
    <row r="58" spans="1:20" x14ac:dyDescent="0.2">
      <c r="A58" t="s">
        <v>697</v>
      </c>
      <c r="C58" s="139" t="s">
        <v>296</v>
      </c>
      <c r="D58">
        <v>0.1797</v>
      </c>
      <c r="E58">
        <v>0.29470000000000002</v>
      </c>
      <c r="F58">
        <v>0.23580000000000001</v>
      </c>
      <c r="G58" s="247">
        <f t="shared" si="0"/>
        <v>449.35140577591113</v>
      </c>
      <c r="H58">
        <v>1581356867.0711529</v>
      </c>
      <c r="I58">
        <v>314644187.41423249</v>
      </c>
      <c r="J58">
        <v>314644187.41423249</v>
      </c>
      <c r="K58" s="195">
        <f t="shared" si="1"/>
        <v>2841698.290126862</v>
      </c>
      <c r="L58" s="195">
        <f t="shared" si="2"/>
        <v>927256.42030974315</v>
      </c>
      <c r="M58" s="195">
        <f t="shared" si="3"/>
        <v>741930.99392276024</v>
      </c>
      <c r="N58" s="195">
        <f t="shared" si="4"/>
        <v>1669187.4142325034</v>
      </c>
      <c r="O58" s="243">
        <v>6324</v>
      </c>
      <c r="Q58" s="195"/>
      <c r="R58" s="139"/>
      <c r="S58" s="137"/>
      <c r="T58" s="247"/>
    </row>
    <row r="59" spans="1:20" x14ac:dyDescent="0.2">
      <c r="A59" t="s">
        <v>697</v>
      </c>
      <c r="C59" s="139" t="s">
        <v>297</v>
      </c>
      <c r="D59">
        <v>0.11070000000000001</v>
      </c>
      <c r="E59">
        <v>0.17069999999999999</v>
      </c>
      <c r="F59">
        <v>0.1366</v>
      </c>
      <c r="G59" s="247">
        <f t="shared" si="0"/>
        <v>255.52860137765799</v>
      </c>
      <c r="H59">
        <v>1869721473.4950583</v>
      </c>
      <c r="I59">
        <v>515862524.78519499</v>
      </c>
      <c r="J59">
        <v>515862524.78519499</v>
      </c>
      <c r="K59" s="195">
        <f t="shared" si="1"/>
        <v>2069781.6711590297</v>
      </c>
      <c r="L59" s="195">
        <f t="shared" si="2"/>
        <v>880577.32980832784</v>
      </c>
      <c r="M59" s="195">
        <f t="shared" si="3"/>
        <v>704668.20885657636</v>
      </c>
      <c r="N59" s="195">
        <f t="shared" si="4"/>
        <v>1585245.5386649042</v>
      </c>
      <c r="O59" s="243">
        <v>8100</v>
      </c>
      <c r="Q59" s="195"/>
      <c r="R59" s="139"/>
      <c r="S59" s="137"/>
      <c r="T59" s="247"/>
    </row>
    <row r="60" spans="1:20" x14ac:dyDescent="0.2">
      <c r="A60" t="s">
        <v>692</v>
      </c>
      <c r="C60" s="139" t="s">
        <v>249</v>
      </c>
      <c r="D60">
        <v>0.12570000000000001</v>
      </c>
      <c r="E60">
        <v>0.22559999999999999</v>
      </c>
      <c r="F60">
        <v>0.18940000000000001</v>
      </c>
      <c r="G60" s="247">
        <f t="shared" si="0"/>
        <v>307.30719608384811</v>
      </c>
      <c r="H60">
        <v>2636436597.110754</v>
      </c>
      <c r="I60">
        <v>527171152.86947691</v>
      </c>
      <c r="J60">
        <v>527171152.86947691</v>
      </c>
      <c r="K60" s="195">
        <f t="shared" si="1"/>
        <v>3314000.8025682182</v>
      </c>
      <c r="L60" s="195">
        <f t="shared" si="2"/>
        <v>1189298.1208735399</v>
      </c>
      <c r="M60" s="195">
        <f t="shared" si="3"/>
        <v>998462.16353478935</v>
      </c>
      <c r="N60" s="195">
        <f t="shared" si="4"/>
        <v>2187760.2844083291</v>
      </c>
      <c r="O60" s="243">
        <v>10784</v>
      </c>
      <c r="Q60" s="195"/>
      <c r="R60" s="139"/>
      <c r="S60" s="137"/>
      <c r="T60" s="247"/>
    </row>
    <row r="61" spans="1:20" x14ac:dyDescent="0.2">
      <c r="A61" t="s">
        <v>694</v>
      </c>
      <c r="C61" s="139" t="s">
        <v>371</v>
      </c>
      <c r="D61">
        <v>0.12640000000000001</v>
      </c>
      <c r="E61">
        <v>0.25590000000000002</v>
      </c>
      <c r="F61">
        <v>0.2044</v>
      </c>
      <c r="G61" s="247">
        <f t="shared" si="0"/>
        <v>212.90867903480441</v>
      </c>
      <c r="H61">
        <v>5205314009.6618357</v>
      </c>
      <c r="I61">
        <v>1189170506.9124424</v>
      </c>
      <c r="J61">
        <v>1189170506.9124424</v>
      </c>
      <c r="K61" s="195">
        <f t="shared" si="1"/>
        <v>6579516.9082125602</v>
      </c>
      <c r="L61" s="195">
        <f t="shared" si="2"/>
        <v>3043087.3271889407</v>
      </c>
      <c r="M61" s="195">
        <f t="shared" si="3"/>
        <v>2430664.5161290322</v>
      </c>
      <c r="N61" s="195">
        <f t="shared" si="4"/>
        <v>5473751.8433179725</v>
      </c>
      <c r="O61" s="243">
        <v>30903</v>
      </c>
      <c r="Q61" s="195"/>
      <c r="R61" s="139"/>
      <c r="S61" s="137"/>
      <c r="T61" s="247"/>
    </row>
    <row r="62" spans="1:20" x14ac:dyDescent="0.2">
      <c r="A62" t="s">
        <v>691</v>
      </c>
      <c r="C62" s="139" t="s">
        <v>327</v>
      </c>
      <c r="D62">
        <v>0.1067</v>
      </c>
      <c r="E62">
        <v>0.22</v>
      </c>
      <c r="F62">
        <v>0.20610000000000001</v>
      </c>
      <c r="G62" s="247">
        <f t="shared" si="0"/>
        <v>256.55883851248092</v>
      </c>
      <c r="H62">
        <v>3776007497.6569824</v>
      </c>
      <c r="I62">
        <v>467481662.59168702</v>
      </c>
      <c r="J62">
        <v>467481662.59168702</v>
      </c>
      <c r="K62" s="195">
        <f t="shared" si="1"/>
        <v>4029000.0000000005</v>
      </c>
      <c r="L62" s="195">
        <f t="shared" si="2"/>
        <v>1028459.6577017115</v>
      </c>
      <c r="M62" s="195">
        <f t="shared" si="3"/>
        <v>963479.70660146698</v>
      </c>
      <c r="N62" s="195">
        <f t="shared" si="4"/>
        <v>1991939.3643031786</v>
      </c>
      <c r="O62" s="243">
        <v>15704</v>
      </c>
      <c r="Q62" s="195"/>
      <c r="R62" s="139"/>
      <c r="S62" s="137"/>
      <c r="T62" s="247"/>
    </row>
    <row r="63" spans="1:20" x14ac:dyDescent="0.2">
      <c r="A63" t="s">
        <v>689</v>
      </c>
      <c r="C63" s="139" t="s">
        <v>164</v>
      </c>
      <c r="D63">
        <v>0.18279999999999999</v>
      </c>
      <c r="E63">
        <v>0.18279999999999999</v>
      </c>
      <c r="F63">
        <v>0.15240000000000001</v>
      </c>
      <c r="G63" s="247">
        <f t="shared" si="0"/>
        <v>300.54895455678354</v>
      </c>
      <c r="H63">
        <v>2820359281.4371252</v>
      </c>
      <c r="I63">
        <v>971260613.97779214</v>
      </c>
      <c r="J63">
        <v>971260613.97779214</v>
      </c>
      <c r="K63" s="195">
        <f t="shared" si="1"/>
        <v>5155616.7664670646</v>
      </c>
      <c r="L63" s="195">
        <f t="shared" si="2"/>
        <v>1775464.4023514038</v>
      </c>
      <c r="M63" s="195">
        <f t="shared" si="3"/>
        <v>1480201.1757021553</v>
      </c>
      <c r="N63" s="195">
        <f t="shared" si="4"/>
        <v>3255665.5780535592</v>
      </c>
      <c r="O63" s="243">
        <v>17154</v>
      </c>
      <c r="Q63" s="195"/>
      <c r="R63" s="139"/>
      <c r="S63" s="137"/>
      <c r="T63" s="247"/>
    </row>
    <row r="64" spans="1:20" x14ac:dyDescent="0.2">
      <c r="A64" t="s">
        <v>690</v>
      </c>
      <c r="C64" s="139" t="s">
        <v>447</v>
      </c>
      <c r="D64">
        <v>0.1305</v>
      </c>
      <c r="E64">
        <v>0.23</v>
      </c>
      <c r="F64">
        <v>0.18210000000000001</v>
      </c>
      <c r="G64" s="247">
        <f t="shared" si="0"/>
        <v>294.95261455396087</v>
      </c>
      <c r="H64">
        <v>1994602929.8380878</v>
      </c>
      <c r="I64">
        <v>497317073.17073166</v>
      </c>
      <c r="J64">
        <v>497317073.17073166</v>
      </c>
      <c r="K64" s="195">
        <f t="shared" si="1"/>
        <v>2602956.8234387045</v>
      </c>
      <c r="L64" s="195">
        <f t="shared" si="2"/>
        <v>1143829.2682926829</v>
      </c>
      <c r="M64" s="195">
        <f t="shared" si="3"/>
        <v>905614.39024390234</v>
      </c>
      <c r="N64" s="195">
        <f t="shared" si="4"/>
        <v>2049443.6585365853</v>
      </c>
      <c r="O64" s="243">
        <v>8825</v>
      </c>
      <c r="Q64" s="195"/>
      <c r="R64" s="139"/>
      <c r="S64" s="137"/>
      <c r="T64" s="247"/>
    </row>
    <row r="65" spans="1:20" x14ac:dyDescent="0.2">
      <c r="A65" t="s">
        <v>694</v>
      </c>
      <c r="C65" s="139" t="s">
        <v>372</v>
      </c>
      <c r="D65">
        <v>0.1172</v>
      </c>
      <c r="E65">
        <v>0.26629999999999998</v>
      </c>
      <c r="F65">
        <v>0.21260000000000001</v>
      </c>
      <c r="G65" s="247">
        <f t="shared" si="0"/>
        <v>264.52912955131234</v>
      </c>
      <c r="H65">
        <v>1271861471.8614719</v>
      </c>
      <c r="I65">
        <v>264825519.1607793</v>
      </c>
      <c r="J65">
        <v>264825519.1607793</v>
      </c>
      <c r="K65" s="195">
        <f t="shared" si="1"/>
        <v>1490621.6450216451</v>
      </c>
      <c r="L65" s="195">
        <f t="shared" si="2"/>
        <v>705230.3575251553</v>
      </c>
      <c r="M65" s="195">
        <f t="shared" si="3"/>
        <v>563019.05373581685</v>
      </c>
      <c r="N65" s="195">
        <f t="shared" si="4"/>
        <v>1268249.4112609723</v>
      </c>
      <c r="O65" s="243">
        <v>5635</v>
      </c>
      <c r="Q65" s="195"/>
      <c r="R65" s="139"/>
      <c r="S65" s="137"/>
      <c r="T65" s="247"/>
    </row>
    <row r="66" spans="1:20" x14ac:dyDescent="0.2">
      <c r="A66" t="s">
        <v>690</v>
      </c>
      <c r="C66" s="139" t="s">
        <v>448</v>
      </c>
      <c r="D66">
        <v>0.11310000000000001</v>
      </c>
      <c r="E66">
        <v>0.22120000000000001</v>
      </c>
      <c r="F66">
        <v>0.1648</v>
      </c>
      <c r="G66" s="247">
        <f t="shared" si="0"/>
        <v>222.40374282209655</v>
      </c>
      <c r="H66">
        <v>2131221719.4570136</v>
      </c>
      <c r="I66">
        <v>517130620.98501062</v>
      </c>
      <c r="J66">
        <v>517130620.98501062</v>
      </c>
      <c r="K66" s="195">
        <f t="shared" si="1"/>
        <v>2410411.7647058824</v>
      </c>
      <c r="L66" s="195">
        <f t="shared" si="2"/>
        <v>1143892.9336188436</v>
      </c>
      <c r="M66" s="195">
        <f t="shared" si="3"/>
        <v>852231.26338329748</v>
      </c>
      <c r="N66" s="195">
        <f t="shared" si="4"/>
        <v>1996124.197002141</v>
      </c>
      <c r="O66" s="243">
        <v>10838</v>
      </c>
      <c r="Q66" s="195"/>
      <c r="R66" s="139"/>
      <c r="S66" s="137"/>
      <c r="T66" s="247"/>
    </row>
    <row r="67" spans="1:20" x14ac:dyDescent="0.2">
      <c r="A67" t="s">
        <v>692</v>
      </c>
      <c r="C67" s="139" t="s">
        <v>250</v>
      </c>
      <c r="D67">
        <v>0.13089999999999999</v>
      </c>
      <c r="E67">
        <v>0.27910000000000001</v>
      </c>
      <c r="F67">
        <v>0.30080000000000001</v>
      </c>
      <c r="G67" s="247">
        <f t="shared" ref="G67:G130" si="5">K67/O67</f>
        <v>257.34438960647128</v>
      </c>
      <c r="H67">
        <v>2381172839.5061731</v>
      </c>
      <c r="I67">
        <v>410314290.67546439</v>
      </c>
      <c r="J67">
        <v>410314290.67546439</v>
      </c>
      <c r="K67" s="195">
        <f t="shared" ref="K67:K130" si="6">D67*H67/100</f>
        <v>3116955.2469135802</v>
      </c>
      <c r="L67" s="195">
        <f t="shared" ref="L67:L130" si="7">E67*J67/100</f>
        <v>1145187.1852752212</v>
      </c>
      <c r="M67" s="195">
        <f t="shared" ref="M67:M130" si="8">F67*I67/100</f>
        <v>1234225.386351797</v>
      </c>
      <c r="N67" s="195">
        <f t="shared" ref="N67:N130" si="9">SUM(L67:M67)</f>
        <v>2379412.571627018</v>
      </c>
      <c r="O67" s="243">
        <v>12112</v>
      </c>
      <c r="Q67" s="195"/>
      <c r="R67" s="139"/>
      <c r="S67" s="137"/>
      <c r="T67" s="247"/>
    </row>
    <row r="68" spans="1:20" x14ac:dyDescent="0.2">
      <c r="A68" t="s">
        <v>695</v>
      </c>
      <c r="C68" s="139" t="s">
        <v>219</v>
      </c>
      <c r="D68">
        <v>0.1129</v>
      </c>
      <c r="E68">
        <v>0.1623</v>
      </c>
      <c r="F68">
        <v>0.14000000000000001</v>
      </c>
      <c r="G68" s="247">
        <f t="shared" si="5"/>
        <v>258.53559604215144</v>
      </c>
      <c r="H68">
        <v>2689777777.7777777</v>
      </c>
      <c r="I68">
        <v>685559566.78700352</v>
      </c>
      <c r="J68">
        <v>685559566.78700352</v>
      </c>
      <c r="K68" s="195">
        <f t="shared" si="6"/>
        <v>3036759.111111111</v>
      </c>
      <c r="L68" s="195">
        <f t="shared" si="7"/>
        <v>1112663.1768953067</v>
      </c>
      <c r="M68" s="195">
        <f t="shared" si="8"/>
        <v>959783.39350180503</v>
      </c>
      <c r="N68" s="195">
        <f t="shared" si="9"/>
        <v>2072446.5703971116</v>
      </c>
      <c r="O68" s="243">
        <v>11746</v>
      </c>
      <c r="Q68" s="195"/>
      <c r="R68" s="139"/>
      <c r="S68" s="137"/>
      <c r="T68" s="247"/>
    </row>
    <row r="69" spans="1:20" x14ac:dyDescent="0.2">
      <c r="A69" t="s">
        <v>693</v>
      </c>
      <c r="C69" s="139" t="s">
        <v>199</v>
      </c>
      <c r="D69">
        <v>0.15490000000000001</v>
      </c>
      <c r="E69">
        <v>0.19750000000000001</v>
      </c>
      <c r="F69">
        <v>0.15</v>
      </c>
      <c r="G69" s="247">
        <f t="shared" si="5"/>
        <v>233.693636022183</v>
      </c>
      <c r="H69">
        <v>1235453315.2909338</v>
      </c>
      <c r="I69">
        <v>247621878.71581447</v>
      </c>
      <c r="J69">
        <v>247621878.71581447</v>
      </c>
      <c r="K69" s="195">
        <f t="shared" si="6"/>
        <v>1913717.1853856565</v>
      </c>
      <c r="L69" s="195">
        <f t="shared" si="7"/>
        <v>489053.21046373359</v>
      </c>
      <c r="M69" s="195">
        <f t="shared" si="8"/>
        <v>371432.81807372166</v>
      </c>
      <c r="N69" s="195">
        <f t="shared" si="9"/>
        <v>860486.02853745525</v>
      </c>
      <c r="O69" s="243">
        <v>8189</v>
      </c>
      <c r="Q69" s="195"/>
      <c r="R69" s="139"/>
      <c r="S69" s="137"/>
      <c r="T69" s="247"/>
    </row>
    <row r="70" spans="1:20" x14ac:dyDescent="0.2">
      <c r="A70" t="s">
        <v>697</v>
      </c>
      <c r="C70" s="139" t="s">
        <v>298</v>
      </c>
      <c r="D70">
        <v>0.1135</v>
      </c>
      <c r="E70">
        <v>0.23350000000000001</v>
      </c>
      <c r="F70">
        <v>0.18679999999999999</v>
      </c>
      <c r="G70" s="247">
        <f t="shared" si="5"/>
        <v>339.83876717259795</v>
      </c>
      <c r="H70">
        <v>5970383275.2613239</v>
      </c>
      <c r="I70">
        <v>888034598.75060058</v>
      </c>
      <c r="J70">
        <v>888034598.75060058</v>
      </c>
      <c r="K70" s="195">
        <f t="shared" si="6"/>
        <v>6776385.0174216032</v>
      </c>
      <c r="L70" s="195">
        <f t="shared" si="7"/>
        <v>2073560.7880826525</v>
      </c>
      <c r="M70" s="195">
        <f t="shared" si="8"/>
        <v>1658848.6304661217</v>
      </c>
      <c r="N70" s="195">
        <f t="shared" si="9"/>
        <v>3732409.418548774</v>
      </c>
      <c r="O70" s="243">
        <v>19940</v>
      </c>
      <c r="Q70" s="195"/>
      <c r="R70" s="139"/>
      <c r="S70" s="137"/>
      <c r="T70" s="247"/>
    </row>
    <row r="71" spans="1:20" x14ac:dyDescent="0.2">
      <c r="A71" t="s">
        <v>693</v>
      </c>
      <c r="C71" s="139" t="s">
        <v>702</v>
      </c>
      <c r="D71">
        <v>0.13</v>
      </c>
      <c r="E71">
        <v>0.222</v>
      </c>
      <c r="F71">
        <v>0.16700000000000001</v>
      </c>
      <c r="G71" s="247">
        <f t="shared" si="5"/>
        <v>236.51621061194899</v>
      </c>
      <c r="H71">
        <v>4572222222.2222223</v>
      </c>
      <c r="I71">
        <v>1088418079.0960453</v>
      </c>
      <c r="J71">
        <v>1088418079.0960453</v>
      </c>
      <c r="K71" s="195">
        <f t="shared" si="6"/>
        <v>5943888.8888888899</v>
      </c>
      <c r="L71" s="195">
        <f t="shared" si="7"/>
        <v>2416288.1355932206</v>
      </c>
      <c r="M71" s="195">
        <f t="shared" si="8"/>
        <v>1817658.1920903956</v>
      </c>
      <c r="N71" s="195">
        <f t="shared" si="9"/>
        <v>4233946.3276836164</v>
      </c>
      <c r="O71" s="243">
        <v>25131</v>
      </c>
      <c r="Q71" s="195"/>
      <c r="R71" s="139"/>
      <c r="S71" s="137"/>
      <c r="T71" s="247"/>
    </row>
    <row r="72" spans="1:20" x14ac:dyDescent="0.2">
      <c r="A72" t="s">
        <v>698</v>
      </c>
      <c r="C72" s="139" t="s">
        <v>177</v>
      </c>
      <c r="D72">
        <v>0.19020000000000001</v>
      </c>
      <c r="E72">
        <v>0.30280000000000001</v>
      </c>
      <c r="F72">
        <v>0.25080000000000002</v>
      </c>
      <c r="G72" s="247">
        <f t="shared" si="5"/>
        <v>226.01891215029903</v>
      </c>
      <c r="H72">
        <v>628860190.90398657</v>
      </c>
      <c r="I72">
        <v>236065573.77049184</v>
      </c>
      <c r="J72">
        <v>236065573.77049184</v>
      </c>
      <c r="K72" s="195">
        <f t="shared" si="6"/>
        <v>1196092.0830993825</v>
      </c>
      <c r="L72" s="195">
        <f t="shared" si="7"/>
        <v>714806.55737704935</v>
      </c>
      <c r="M72" s="195">
        <f t="shared" si="8"/>
        <v>592052.45901639352</v>
      </c>
      <c r="N72" s="195">
        <f t="shared" si="9"/>
        <v>1306859.0163934429</v>
      </c>
      <c r="O72" s="243">
        <v>5292</v>
      </c>
      <c r="Q72" s="195"/>
      <c r="R72" s="139"/>
      <c r="S72" s="137"/>
      <c r="T72" s="247"/>
    </row>
    <row r="73" spans="1:20" x14ac:dyDescent="0.2">
      <c r="A73" t="s">
        <v>697</v>
      </c>
      <c r="C73" s="139" t="s">
        <v>299</v>
      </c>
      <c r="D73">
        <v>0.1012</v>
      </c>
      <c r="E73">
        <v>0.1464</v>
      </c>
      <c r="F73">
        <v>0.1167</v>
      </c>
      <c r="G73" s="247">
        <f t="shared" si="5"/>
        <v>282.20460393535319</v>
      </c>
      <c r="H73">
        <v>5175052410.9014673</v>
      </c>
      <c r="I73">
        <v>881453944.65097082</v>
      </c>
      <c r="J73">
        <v>881453944.65097082</v>
      </c>
      <c r="K73" s="195">
        <f t="shared" si="6"/>
        <v>5237153.0398322847</v>
      </c>
      <c r="L73" s="195">
        <f t="shared" si="7"/>
        <v>1290448.5749690211</v>
      </c>
      <c r="M73" s="195">
        <f t="shared" si="8"/>
        <v>1028656.7534076829</v>
      </c>
      <c r="N73" s="195">
        <f t="shared" si="9"/>
        <v>2319105.3283767039</v>
      </c>
      <c r="O73" s="243">
        <v>18558</v>
      </c>
      <c r="Q73" s="195"/>
      <c r="R73" s="139"/>
      <c r="S73" s="137"/>
      <c r="T73" s="247"/>
    </row>
    <row r="74" spans="1:20" x14ac:dyDescent="0.2">
      <c r="A74" t="s">
        <v>689</v>
      </c>
      <c r="C74" s="139" t="s">
        <v>172</v>
      </c>
      <c r="D74">
        <v>0.1171</v>
      </c>
      <c r="E74">
        <v>0.15490000000000001</v>
      </c>
      <c r="F74">
        <v>0.13619999999999999</v>
      </c>
      <c r="G74" s="247">
        <f t="shared" si="5"/>
        <v>245.08580107148796</v>
      </c>
      <c r="H74">
        <v>2255793991.4163089</v>
      </c>
      <c r="I74">
        <v>412268188.30242515</v>
      </c>
      <c r="J74">
        <v>412268188.30242515</v>
      </c>
      <c r="K74" s="195">
        <f t="shared" si="6"/>
        <v>2641534.7639484974</v>
      </c>
      <c r="L74" s="195">
        <f t="shared" si="7"/>
        <v>638603.42368045659</v>
      </c>
      <c r="M74" s="195">
        <f t="shared" si="8"/>
        <v>561509.27246790298</v>
      </c>
      <c r="N74" s="195">
        <f t="shared" si="9"/>
        <v>1200112.6961483597</v>
      </c>
      <c r="O74" s="243">
        <v>10778</v>
      </c>
      <c r="Q74" s="195"/>
      <c r="R74" s="139"/>
      <c r="S74" s="137"/>
      <c r="T74" s="247"/>
    </row>
    <row r="75" spans="1:20" x14ac:dyDescent="0.2">
      <c r="A75" t="s">
        <v>694</v>
      </c>
      <c r="C75" s="139" t="s">
        <v>373</v>
      </c>
      <c r="D75">
        <v>0.155</v>
      </c>
      <c r="E75">
        <v>0.29442000000000002</v>
      </c>
      <c r="F75">
        <v>0.23580000000000001</v>
      </c>
      <c r="G75" s="247">
        <f t="shared" si="5"/>
        <v>243.41432329770353</v>
      </c>
      <c r="H75">
        <v>8355707032.0651035</v>
      </c>
      <c r="I75">
        <v>2585348000.2439966</v>
      </c>
      <c r="J75">
        <v>2585348000.2439966</v>
      </c>
      <c r="K75" s="195">
        <f t="shared" si="6"/>
        <v>12951345.899700912</v>
      </c>
      <c r="L75" s="195">
        <f t="shared" si="7"/>
        <v>7611781.5823183749</v>
      </c>
      <c r="M75" s="195">
        <f t="shared" si="8"/>
        <v>6096250.5845753439</v>
      </c>
      <c r="N75" s="195">
        <f t="shared" si="9"/>
        <v>13708032.166893719</v>
      </c>
      <c r="O75" s="243">
        <v>53207</v>
      </c>
      <c r="Q75" s="195"/>
      <c r="R75" s="139"/>
      <c r="S75" s="137"/>
      <c r="T75" s="247"/>
    </row>
    <row r="76" spans="1:20" x14ac:dyDescent="0.2">
      <c r="A76" t="s">
        <v>698</v>
      </c>
      <c r="C76" s="139" t="s">
        <v>178</v>
      </c>
      <c r="D76">
        <v>0.20519999999999999</v>
      </c>
      <c r="E76">
        <v>0.41649999999999998</v>
      </c>
      <c r="F76">
        <v>0.34570000000000001</v>
      </c>
      <c r="G76" s="247">
        <f t="shared" si="5"/>
        <v>242.10886886588727</v>
      </c>
      <c r="H76">
        <v>1462564102.5641026</v>
      </c>
      <c r="I76">
        <v>982456140.35087717</v>
      </c>
      <c r="J76">
        <v>982456140.35087717</v>
      </c>
      <c r="K76" s="195">
        <f t="shared" si="6"/>
        <v>3001181.5384615385</v>
      </c>
      <c r="L76" s="195">
        <f t="shared" si="7"/>
        <v>4091929.8245614036</v>
      </c>
      <c r="M76" s="195">
        <f t="shared" si="8"/>
        <v>3396350.8771929825</v>
      </c>
      <c r="N76" s="195">
        <f t="shared" si="9"/>
        <v>7488280.7017543856</v>
      </c>
      <c r="O76" s="243">
        <v>12396</v>
      </c>
      <c r="Q76" s="195"/>
      <c r="R76" s="139"/>
      <c r="S76" s="137"/>
      <c r="T76" s="247"/>
    </row>
    <row r="77" spans="1:20" x14ac:dyDescent="0.2">
      <c r="A77" t="s">
        <v>691</v>
      </c>
      <c r="C77" s="139" t="s">
        <v>328</v>
      </c>
      <c r="D77">
        <v>0.13980000000000001</v>
      </c>
      <c r="E77">
        <v>0.35260000000000002</v>
      </c>
      <c r="F77">
        <v>0.30769999999999997</v>
      </c>
      <c r="G77" s="247">
        <f t="shared" si="5"/>
        <v>191.1159914411343</v>
      </c>
      <c r="H77">
        <v>4094366197.1830988</v>
      </c>
      <c r="I77">
        <v>1254427792.9155314</v>
      </c>
      <c r="J77">
        <v>1254427792.9155314</v>
      </c>
      <c r="K77" s="195">
        <f t="shared" si="6"/>
        <v>5723923.9436619719</v>
      </c>
      <c r="L77" s="195">
        <f t="shared" si="7"/>
        <v>4423112.3978201635</v>
      </c>
      <c r="M77" s="195">
        <f t="shared" si="8"/>
        <v>3859874.3188010897</v>
      </c>
      <c r="N77" s="195">
        <f t="shared" si="9"/>
        <v>8282986.7166212536</v>
      </c>
      <c r="O77" s="243">
        <v>29950</v>
      </c>
      <c r="Q77" s="195"/>
      <c r="R77" s="139"/>
      <c r="S77" s="137"/>
      <c r="T77" s="247"/>
    </row>
    <row r="78" spans="1:20" x14ac:dyDescent="0.2">
      <c r="A78" t="s">
        <v>690</v>
      </c>
      <c r="C78" s="139" t="s">
        <v>449</v>
      </c>
      <c r="D78">
        <v>0.17230000000000001</v>
      </c>
      <c r="E78">
        <v>0.18149999999999999</v>
      </c>
      <c r="F78">
        <v>0.1633</v>
      </c>
      <c r="G78" s="247">
        <f t="shared" si="5"/>
        <v>384.74700592231147</v>
      </c>
      <c r="H78">
        <v>3089364380.1132789</v>
      </c>
      <c r="I78">
        <v>891486810.55155885</v>
      </c>
      <c r="J78">
        <v>891486810.55155885</v>
      </c>
      <c r="K78" s="195">
        <f t="shared" si="6"/>
        <v>5322974.8269351795</v>
      </c>
      <c r="L78" s="195">
        <f t="shared" si="7"/>
        <v>1618048.5611510791</v>
      </c>
      <c r="M78" s="195">
        <f t="shared" si="8"/>
        <v>1455797.9616306957</v>
      </c>
      <c r="N78" s="195">
        <f t="shared" si="9"/>
        <v>3073846.5227817749</v>
      </c>
      <c r="O78" s="243">
        <v>13835</v>
      </c>
      <c r="Q78" s="195"/>
      <c r="R78" s="139"/>
      <c r="S78" s="137"/>
      <c r="T78" s="247"/>
    </row>
    <row r="79" spans="1:20" x14ac:dyDescent="0.2">
      <c r="A79" t="s">
        <v>695</v>
      </c>
      <c r="C79" s="139" t="s">
        <v>220</v>
      </c>
      <c r="D79">
        <v>0.15240000000000001</v>
      </c>
      <c r="E79">
        <v>0.37559999999999999</v>
      </c>
      <c r="F79">
        <v>0.3034</v>
      </c>
      <c r="G79" s="247">
        <f t="shared" si="5"/>
        <v>273.24813932454782</v>
      </c>
      <c r="H79">
        <v>7917920656.6347466</v>
      </c>
      <c r="I79">
        <v>2037380139.7692184</v>
      </c>
      <c r="J79">
        <v>2037380139.7692184</v>
      </c>
      <c r="K79" s="195">
        <f t="shared" si="6"/>
        <v>12066911.080711355</v>
      </c>
      <c r="L79" s="195">
        <f t="shared" si="7"/>
        <v>7652399.8049731841</v>
      </c>
      <c r="M79" s="195">
        <f t="shared" si="8"/>
        <v>6181411.3440598082</v>
      </c>
      <c r="N79" s="195">
        <f t="shared" si="9"/>
        <v>13833811.149032991</v>
      </c>
      <c r="O79" s="243">
        <v>44161</v>
      </c>
      <c r="Q79" s="195"/>
      <c r="R79" s="139"/>
      <c r="S79" s="137"/>
      <c r="T79" s="247"/>
    </row>
    <row r="80" spans="1:20" x14ac:dyDescent="0.2">
      <c r="A80" t="s">
        <v>691</v>
      </c>
      <c r="C80" s="139" t="s">
        <v>329</v>
      </c>
      <c r="D80">
        <v>0.1108</v>
      </c>
      <c r="E80">
        <v>0.26800000000000002</v>
      </c>
      <c r="F80">
        <v>0.26140000000000002</v>
      </c>
      <c r="G80" s="247">
        <f t="shared" si="5"/>
        <v>194.7135913274189</v>
      </c>
      <c r="H80">
        <v>2422321428.5714283</v>
      </c>
      <c r="I80">
        <v>651447896.85056019</v>
      </c>
      <c r="J80">
        <v>651447896.85056019</v>
      </c>
      <c r="K80" s="195">
        <f t="shared" si="6"/>
        <v>2683932.1428571423</v>
      </c>
      <c r="L80" s="195">
        <f t="shared" si="7"/>
        <v>1745880.3635595015</v>
      </c>
      <c r="M80" s="195">
        <f t="shared" si="8"/>
        <v>1702884.8023673645</v>
      </c>
      <c r="N80" s="195">
        <f t="shared" si="9"/>
        <v>3448765.1659268662</v>
      </c>
      <c r="O80" s="243">
        <v>13784</v>
      </c>
      <c r="Q80" s="195"/>
      <c r="R80" s="139"/>
      <c r="S80" s="137"/>
      <c r="T80" s="247"/>
    </row>
    <row r="81" spans="1:23" x14ac:dyDescent="0.2">
      <c r="A81" t="s">
        <v>695</v>
      </c>
      <c r="C81" s="139" t="s">
        <v>221</v>
      </c>
      <c r="D81">
        <v>0.14990000000000001</v>
      </c>
      <c r="E81">
        <v>0.2117</v>
      </c>
      <c r="F81">
        <v>0.17</v>
      </c>
      <c r="G81" s="247">
        <f t="shared" si="5"/>
        <v>329.95855901004222</v>
      </c>
      <c r="H81">
        <v>2362758620.6896553</v>
      </c>
      <c r="I81">
        <v>756844673.35321224</v>
      </c>
      <c r="J81">
        <v>756844673.35321224</v>
      </c>
      <c r="K81" s="195">
        <f t="shared" si="6"/>
        <v>3541775.1724137934</v>
      </c>
      <c r="L81" s="195">
        <f t="shared" si="7"/>
        <v>1602240.1734887501</v>
      </c>
      <c r="M81" s="195">
        <f t="shared" si="8"/>
        <v>1286635.9447004609</v>
      </c>
      <c r="N81" s="195">
        <f t="shared" si="9"/>
        <v>2888876.118189211</v>
      </c>
      <c r="O81" s="243">
        <v>10734</v>
      </c>
      <c r="Q81" s="195"/>
      <c r="R81" s="139"/>
      <c r="S81" s="137"/>
      <c r="T81" s="247"/>
    </row>
    <row r="82" spans="1:23" x14ac:dyDescent="0.2">
      <c r="A82" t="s">
        <v>692</v>
      </c>
      <c r="C82" s="139" t="s">
        <v>251</v>
      </c>
      <c r="D82">
        <v>0.1585</v>
      </c>
      <c r="E82">
        <v>0.1971</v>
      </c>
      <c r="F82">
        <v>0.15040000000000001</v>
      </c>
      <c r="G82" s="247">
        <f t="shared" si="5"/>
        <v>285.34044549037992</v>
      </c>
      <c r="H82">
        <v>945674044.26559353</v>
      </c>
      <c r="I82">
        <v>144346692.73378953</v>
      </c>
      <c r="J82">
        <v>144346692.73378953</v>
      </c>
      <c r="K82" s="195">
        <f t="shared" si="6"/>
        <v>1498893.3601609657</v>
      </c>
      <c r="L82" s="195">
        <f t="shared" si="7"/>
        <v>284507.33137829916</v>
      </c>
      <c r="M82" s="195">
        <f t="shared" si="8"/>
        <v>217097.42587161946</v>
      </c>
      <c r="N82" s="195">
        <f t="shared" si="9"/>
        <v>501604.75724991865</v>
      </c>
      <c r="O82" s="243">
        <v>5253</v>
      </c>
      <c r="Q82" s="195"/>
      <c r="R82" s="139"/>
      <c r="S82" s="137"/>
      <c r="T82" s="247"/>
    </row>
    <row r="83" spans="1:23" x14ac:dyDescent="0.2">
      <c r="A83" t="s">
        <v>692</v>
      </c>
      <c r="C83" s="139" t="s">
        <v>252</v>
      </c>
      <c r="D83">
        <v>0.1321</v>
      </c>
      <c r="E83">
        <v>0.21640000000000001</v>
      </c>
      <c r="F83">
        <v>0.20619999999999999</v>
      </c>
      <c r="G83" s="247">
        <f t="shared" si="5"/>
        <v>240.84661920717315</v>
      </c>
      <c r="H83">
        <v>4699699699.6996994</v>
      </c>
      <c r="I83">
        <v>1312796208.5308056</v>
      </c>
      <c r="J83">
        <v>1312796208.5308056</v>
      </c>
      <c r="K83" s="195">
        <f t="shared" si="6"/>
        <v>6208303.3033033023</v>
      </c>
      <c r="L83" s="195">
        <f t="shared" si="7"/>
        <v>2840890.9952606638</v>
      </c>
      <c r="M83" s="195">
        <f t="shared" si="8"/>
        <v>2706985.7819905211</v>
      </c>
      <c r="N83" s="195">
        <f t="shared" si="9"/>
        <v>5547876.7772511849</v>
      </c>
      <c r="O83" s="243">
        <v>25777</v>
      </c>
      <c r="Q83" s="195"/>
      <c r="R83" s="139"/>
      <c r="S83" s="137"/>
      <c r="T83" s="247"/>
    </row>
    <row r="84" spans="1:23" x14ac:dyDescent="0.2">
      <c r="A84" t="s">
        <v>690</v>
      </c>
      <c r="C84" s="139" t="s">
        <v>450</v>
      </c>
      <c r="D84">
        <v>0.1343</v>
      </c>
      <c r="E84">
        <v>0.15509999999999999</v>
      </c>
      <c r="F84">
        <v>0.12640000000000001</v>
      </c>
      <c r="G84" s="247">
        <f t="shared" si="5"/>
        <v>284.45306067219764</v>
      </c>
      <c r="H84">
        <v>2298711144.8066721</v>
      </c>
      <c r="I84">
        <v>522404371.58469951</v>
      </c>
      <c r="J84">
        <v>522404371.58469951</v>
      </c>
      <c r="K84" s="195">
        <f t="shared" si="6"/>
        <v>3087169.0674753608</v>
      </c>
      <c r="L84" s="195">
        <f t="shared" si="7"/>
        <v>810249.1803278689</v>
      </c>
      <c r="M84" s="195">
        <f t="shared" si="8"/>
        <v>660319.12568306027</v>
      </c>
      <c r="N84" s="195">
        <f t="shared" si="9"/>
        <v>1470568.3060109292</v>
      </c>
      <c r="O84" s="243">
        <v>10853</v>
      </c>
      <c r="Q84" s="195"/>
      <c r="R84" s="139"/>
      <c r="S84" s="137"/>
      <c r="T84" s="247"/>
    </row>
    <row r="85" spans="1:23" x14ac:dyDescent="0.2">
      <c r="A85" t="s">
        <v>693</v>
      </c>
      <c r="C85" s="139" t="s">
        <v>200</v>
      </c>
      <c r="D85">
        <v>0.19850000000000001</v>
      </c>
      <c r="E85">
        <v>0.376</v>
      </c>
      <c r="F85">
        <v>0</v>
      </c>
      <c r="G85" s="247">
        <f t="shared" si="5"/>
        <v>268.67045871622702</v>
      </c>
      <c r="H85">
        <v>1548949485.9186409</v>
      </c>
      <c r="I85">
        <v>482223335.00250381</v>
      </c>
      <c r="J85">
        <v>482223335.00250381</v>
      </c>
      <c r="K85" s="195">
        <f t="shared" si="6"/>
        <v>3074664.7295485018</v>
      </c>
      <c r="L85" s="195">
        <f t="shared" si="7"/>
        <v>1813159.7396094142</v>
      </c>
      <c r="M85" s="195">
        <f t="shared" si="8"/>
        <v>0</v>
      </c>
      <c r="N85" s="195">
        <f t="shared" si="9"/>
        <v>1813159.7396094142</v>
      </c>
      <c r="O85" s="243">
        <v>11444</v>
      </c>
      <c r="Q85" s="195"/>
      <c r="R85" s="139"/>
      <c r="S85" s="137"/>
      <c r="T85" s="247"/>
    </row>
    <row r="86" spans="1:23" x14ac:dyDescent="0.2">
      <c r="A86" t="s">
        <v>694</v>
      </c>
      <c r="C86" s="139" t="s">
        <v>374</v>
      </c>
      <c r="D86">
        <v>0.13009999999999999</v>
      </c>
      <c r="E86">
        <v>0.22900000000000001</v>
      </c>
      <c r="F86">
        <v>0.18690000000000001</v>
      </c>
      <c r="G86" s="247">
        <f t="shared" si="5"/>
        <v>199.08655793752462</v>
      </c>
      <c r="H86">
        <v>8449319213.3131609</v>
      </c>
      <c r="I86">
        <v>2711928651.0590858</v>
      </c>
      <c r="J86">
        <v>2711928651.0590858</v>
      </c>
      <c r="K86" s="195">
        <f t="shared" si="6"/>
        <v>10992564.296520421</v>
      </c>
      <c r="L86" s="195">
        <f t="shared" si="7"/>
        <v>6210316.6109253075</v>
      </c>
      <c r="M86" s="195">
        <f t="shared" si="8"/>
        <v>5068594.6488294313</v>
      </c>
      <c r="N86" s="195">
        <f t="shared" si="9"/>
        <v>11278911.25975474</v>
      </c>
      <c r="O86" s="243">
        <v>55215</v>
      </c>
      <c r="Q86" s="195"/>
      <c r="R86" s="139"/>
      <c r="S86" s="137"/>
      <c r="T86" s="247"/>
    </row>
    <row r="87" spans="1:23" x14ac:dyDescent="0.2">
      <c r="A87" t="s">
        <v>691</v>
      </c>
      <c r="C87" s="139" t="s">
        <v>330</v>
      </c>
      <c r="D87">
        <v>9.6000000000000002E-2</v>
      </c>
      <c r="E87">
        <v>0.18290000000000001</v>
      </c>
      <c r="F87">
        <v>0.1467</v>
      </c>
      <c r="G87" s="247">
        <f t="shared" si="5"/>
        <v>204.83831752978361</v>
      </c>
      <c r="H87">
        <v>1755208333.3333333</v>
      </c>
      <c r="I87">
        <v>261274804.57005411</v>
      </c>
      <c r="J87">
        <v>261274804.57005411</v>
      </c>
      <c r="K87" s="195">
        <f t="shared" si="6"/>
        <v>1685000</v>
      </c>
      <c r="L87" s="195">
        <f t="shared" si="7"/>
        <v>477871.61755862902</v>
      </c>
      <c r="M87" s="195">
        <f t="shared" si="8"/>
        <v>383290.13830426941</v>
      </c>
      <c r="N87" s="195">
        <f t="shared" si="9"/>
        <v>861161.75586289843</v>
      </c>
      <c r="O87" s="243">
        <v>8226</v>
      </c>
      <c r="Q87" s="195"/>
      <c r="R87" s="139"/>
      <c r="S87" s="137"/>
      <c r="T87" s="247"/>
    </row>
    <row r="88" spans="1:23" x14ac:dyDescent="0.2">
      <c r="A88" t="s">
        <v>690</v>
      </c>
      <c r="C88" s="139" t="s">
        <v>451</v>
      </c>
      <c r="D88">
        <v>0.11210000000000001</v>
      </c>
      <c r="E88">
        <v>0.17680000000000001</v>
      </c>
      <c r="F88">
        <v>0.14249999999999999</v>
      </c>
      <c r="G88" s="247">
        <f t="shared" si="5"/>
        <v>241.85539273484719</v>
      </c>
      <c r="H88">
        <v>2505716798.5927877</v>
      </c>
      <c r="I88">
        <v>508128785.46381903</v>
      </c>
      <c r="J88">
        <v>508128785.46381903</v>
      </c>
      <c r="K88" s="195">
        <f t="shared" si="6"/>
        <v>2808908.5312225153</v>
      </c>
      <c r="L88" s="195">
        <f t="shared" si="7"/>
        <v>898371.69270003214</v>
      </c>
      <c r="M88" s="195">
        <f t="shared" si="8"/>
        <v>724083.51928594196</v>
      </c>
      <c r="N88" s="195">
        <f t="shared" si="9"/>
        <v>1622455.2119859741</v>
      </c>
      <c r="O88" s="243">
        <v>11614</v>
      </c>
      <c r="Q88" s="195"/>
      <c r="R88" s="139"/>
      <c r="S88" s="137"/>
      <c r="T88" s="247"/>
    </row>
    <row r="89" spans="1:23" x14ac:dyDescent="0.2">
      <c r="A89" t="s">
        <v>696</v>
      </c>
      <c r="C89" s="139" t="s">
        <v>530</v>
      </c>
      <c r="D89">
        <v>0.1666</v>
      </c>
      <c r="E89">
        <v>0.21410000000000001</v>
      </c>
      <c r="F89">
        <v>0.1988</v>
      </c>
      <c r="G89" s="247">
        <f t="shared" si="5"/>
        <v>271.31736234451154</v>
      </c>
      <c r="H89">
        <v>2910554561.7173529</v>
      </c>
      <c r="I89">
        <v>1022085015.4357635</v>
      </c>
      <c r="J89">
        <v>1022085015.4357635</v>
      </c>
      <c r="K89" s="195">
        <f t="shared" si="6"/>
        <v>4848983.8998211101</v>
      </c>
      <c r="L89" s="195">
        <f t="shared" si="7"/>
        <v>2188284.0180479698</v>
      </c>
      <c r="M89" s="195">
        <f t="shared" si="8"/>
        <v>2031905.0106862977</v>
      </c>
      <c r="N89" s="195">
        <f t="shared" si="9"/>
        <v>4220189.0287342677</v>
      </c>
      <c r="O89" s="243">
        <v>17872</v>
      </c>
      <c r="Q89" s="195"/>
      <c r="R89" s="139"/>
      <c r="S89" s="137"/>
      <c r="T89" s="247"/>
    </row>
    <row r="90" spans="1:23" x14ac:dyDescent="0.2">
      <c r="A90" t="s">
        <v>692</v>
      </c>
      <c r="C90" s="139" t="s">
        <v>253</v>
      </c>
      <c r="D90">
        <v>0.129</v>
      </c>
      <c r="E90">
        <v>0.1719</v>
      </c>
      <c r="F90">
        <v>0.1489</v>
      </c>
      <c r="G90" s="247">
        <f t="shared" si="5"/>
        <v>265.99157491005212</v>
      </c>
      <c r="H90">
        <v>1631621187.8009629</v>
      </c>
      <c r="I90">
        <v>402736069.40273607</v>
      </c>
      <c r="J90">
        <v>402736069.40273607</v>
      </c>
      <c r="K90" s="195">
        <f t="shared" si="6"/>
        <v>2104791.3322632425</v>
      </c>
      <c r="L90" s="195">
        <f t="shared" si="7"/>
        <v>692303.30330330331</v>
      </c>
      <c r="M90" s="195">
        <f t="shared" si="8"/>
        <v>599674.00734067406</v>
      </c>
      <c r="N90" s="195">
        <f t="shared" si="9"/>
        <v>1291977.3106439775</v>
      </c>
      <c r="O90" s="243">
        <v>7913</v>
      </c>
      <c r="Q90" s="195"/>
      <c r="R90" s="139"/>
      <c r="S90" s="137"/>
      <c r="T90" s="247"/>
    </row>
    <row r="91" spans="1:23" x14ac:dyDescent="0.2">
      <c r="A91" t="s">
        <v>692</v>
      </c>
      <c r="C91" s="139" t="s">
        <v>254</v>
      </c>
      <c r="D91">
        <v>0.1603</v>
      </c>
      <c r="E91">
        <v>0.17829999999999999</v>
      </c>
      <c r="F91">
        <v>0.13739999999999999</v>
      </c>
      <c r="G91" s="247">
        <f t="shared" si="5"/>
        <v>257.19885083613099</v>
      </c>
      <c r="H91">
        <v>1711182622.6870477</v>
      </c>
      <c r="I91">
        <v>707747629.94442642</v>
      </c>
      <c r="J91">
        <v>707747629.94442642</v>
      </c>
      <c r="K91" s="195">
        <f t="shared" si="6"/>
        <v>2743025.7441673372</v>
      </c>
      <c r="L91" s="195">
        <f t="shared" si="7"/>
        <v>1261914.0241909123</v>
      </c>
      <c r="M91" s="195">
        <f t="shared" si="8"/>
        <v>972445.24354364187</v>
      </c>
      <c r="N91" s="195">
        <f t="shared" si="9"/>
        <v>2234359.2677345541</v>
      </c>
      <c r="O91" s="243">
        <v>10665</v>
      </c>
      <c r="Q91" s="195"/>
      <c r="R91" s="139"/>
      <c r="S91" s="137"/>
      <c r="T91" s="247"/>
    </row>
    <row r="92" spans="1:23" x14ac:dyDescent="0.2">
      <c r="A92" t="s">
        <v>699</v>
      </c>
      <c r="C92" s="139" t="s">
        <v>500</v>
      </c>
      <c r="D92">
        <v>0.14424000000000001</v>
      </c>
      <c r="E92">
        <v>0.20910999999999999</v>
      </c>
      <c r="F92">
        <v>0.16716</v>
      </c>
      <c r="G92" s="247">
        <f t="shared" si="5"/>
        <v>243.53396043858584</v>
      </c>
      <c r="H92">
        <v>2593542128.6031041</v>
      </c>
      <c r="I92">
        <v>618806430.3016957</v>
      </c>
      <c r="J92">
        <v>618806430.3016957</v>
      </c>
      <c r="K92" s="195">
        <f t="shared" si="6"/>
        <v>3740925.1662971172</v>
      </c>
      <c r="L92" s="195">
        <f t="shared" si="7"/>
        <v>1293986.1264038759</v>
      </c>
      <c r="M92" s="195">
        <f t="shared" si="8"/>
        <v>1034396.8288923146</v>
      </c>
      <c r="N92" s="195">
        <f t="shared" si="9"/>
        <v>2328382.9552961905</v>
      </c>
      <c r="O92" s="243">
        <v>15361</v>
      </c>
      <c r="Q92" s="195"/>
      <c r="R92" s="139"/>
      <c r="S92" s="137"/>
      <c r="T92" s="247"/>
    </row>
    <row r="93" spans="1:23" x14ac:dyDescent="0.2">
      <c r="A93" t="s">
        <v>691</v>
      </c>
      <c r="C93" s="139" t="s">
        <v>331</v>
      </c>
      <c r="D93">
        <v>0.109</v>
      </c>
      <c r="E93">
        <v>0.17349999999999999</v>
      </c>
      <c r="F93">
        <v>0.14219999999999999</v>
      </c>
      <c r="G93" s="247">
        <f t="shared" si="5"/>
        <v>247.24968965172141</v>
      </c>
      <c r="H93">
        <v>3399796650</v>
      </c>
      <c r="I93">
        <v>630078787</v>
      </c>
      <c r="J93">
        <v>630078787</v>
      </c>
      <c r="K93" s="195">
        <f t="shared" si="6"/>
        <v>3705778.3485000003</v>
      </c>
      <c r="L93" s="195">
        <f t="shared" si="7"/>
        <v>1093186.695445</v>
      </c>
      <c r="M93" s="195">
        <f t="shared" si="8"/>
        <v>895972.03511399997</v>
      </c>
      <c r="N93" s="195">
        <f t="shared" si="9"/>
        <v>1989158.7305589998</v>
      </c>
      <c r="O93" s="243">
        <v>14988</v>
      </c>
      <c r="Q93" s="195"/>
      <c r="R93" s="139"/>
      <c r="S93" s="137"/>
      <c r="T93" s="247"/>
      <c r="W93" s="196"/>
    </row>
    <row r="94" spans="1:23" x14ac:dyDescent="0.2">
      <c r="A94" t="s">
        <v>692</v>
      </c>
      <c r="C94" s="139" t="s">
        <v>255</v>
      </c>
      <c r="D94">
        <v>0.12239999999999999</v>
      </c>
      <c r="E94">
        <v>0.2016</v>
      </c>
      <c r="F94">
        <v>0.16109999999999999</v>
      </c>
      <c r="G94" s="247">
        <f t="shared" si="5"/>
        <v>246.63571324064588</v>
      </c>
      <c r="H94">
        <v>10033680834.001604</v>
      </c>
      <c r="I94">
        <v>3148972602.7397261</v>
      </c>
      <c r="J94">
        <v>3148972602.7397261</v>
      </c>
      <c r="K94" s="195">
        <f t="shared" si="6"/>
        <v>12281225.340817962</v>
      </c>
      <c r="L94" s="195">
        <f t="shared" si="7"/>
        <v>6348328.7671232875</v>
      </c>
      <c r="M94" s="195">
        <f t="shared" si="8"/>
        <v>5072994.8630136987</v>
      </c>
      <c r="N94" s="195">
        <f t="shared" si="9"/>
        <v>11421323.630136985</v>
      </c>
      <c r="O94" s="243">
        <v>49795</v>
      </c>
      <c r="Q94" s="195"/>
      <c r="R94" s="139"/>
      <c r="S94" s="137"/>
      <c r="T94" s="247"/>
    </row>
    <row r="95" spans="1:23" x14ac:dyDescent="0.2">
      <c r="A95" t="s">
        <v>697</v>
      </c>
      <c r="C95" s="139" t="s">
        <v>300</v>
      </c>
      <c r="D95">
        <v>0.1226</v>
      </c>
      <c r="E95">
        <v>0.17849999999999999</v>
      </c>
      <c r="F95">
        <v>0.11840000000000001</v>
      </c>
      <c r="G95" s="247">
        <f t="shared" si="5"/>
        <v>340.69488892888575</v>
      </c>
      <c r="H95">
        <v>1020139426.8009295</v>
      </c>
      <c r="I95">
        <v>185369908.56192851</v>
      </c>
      <c r="J95">
        <v>185369908.56192851</v>
      </c>
      <c r="K95" s="195">
        <f t="shared" si="6"/>
        <v>1250690.9372579395</v>
      </c>
      <c r="L95" s="195">
        <f t="shared" si="7"/>
        <v>330885.28678304236</v>
      </c>
      <c r="M95" s="195">
        <f t="shared" si="8"/>
        <v>219477.97173732336</v>
      </c>
      <c r="N95" s="195">
        <f t="shared" si="9"/>
        <v>550363.25852036569</v>
      </c>
      <c r="O95" s="243">
        <v>3671</v>
      </c>
      <c r="Q95" s="195"/>
      <c r="R95" s="139"/>
      <c r="S95" s="137"/>
      <c r="T95" s="247"/>
    </row>
    <row r="96" spans="1:23" x14ac:dyDescent="0.2">
      <c r="A96" t="s">
        <v>698</v>
      </c>
      <c r="C96" s="139" t="s">
        <v>179</v>
      </c>
      <c r="D96">
        <v>0.24</v>
      </c>
      <c r="E96">
        <v>0.3972</v>
      </c>
      <c r="F96">
        <v>0.318</v>
      </c>
      <c r="G96" s="247">
        <f t="shared" si="5"/>
        <v>333.09282886053671</v>
      </c>
      <c r="H96">
        <v>1040915090.1891774</v>
      </c>
      <c r="I96">
        <v>1084869768.8030436</v>
      </c>
      <c r="J96">
        <v>1084869768.8030436</v>
      </c>
      <c r="K96" s="195">
        <f t="shared" si="6"/>
        <v>2498196.2164540254</v>
      </c>
      <c r="L96" s="195">
        <f t="shared" si="7"/>
        <v>4309102.7216856889</v>
      </c>
      <c r="M96" s="195">
        <f t="shared" si="8"/>
        <v>3449885.8647936787</v>
      </c>
      <c r="N96" s="195">
        <f t="shared" si="9"/>
        <v>7758988.5864793677</v>
      </c>
      <c r="O96" s="243">
        <v>7500</v>
      </c>
      <c r="Q96" s="195"/>
      <c r="R96" s="139"/>
      <c r="S96" s="137"/>
      <c r="T96" s="247"/>
    </row>
    <row r="97" spans="1:20" x14ac:dyDescent="0.2">
      <c r="A97" t="s">
        <v>690</v>
      </c>
      <c r="C97" s="139" t="s">
        <v>452</v>
      </c>
      <c r="D97">
        <v>0.1024</v>
      </c>
      <c r="E97">
        <v>0.14799999999999999</v>
      </c>
      <c r="F97">
        <v>0.11799999999999999</v>
      </c>
      <c r="G97" s="247">
        <f t="shared" si="5"/>
        <v>262.71854775530375</v>
      </c>
      <c r="H97">
        <v>2163836163.836164</v>
      </c>
      <c r="I97">
        <v>570637119.11357331</v>
      </c>
      <c r="J97">
        <v>570637119.11357331</v>
      </c>
      <c r="K97" s="195">
        <f t="shared" si="6"/>
        <v>2215768.2317682318</v>
      </c>
      <c r="L97" s="195">
        <f t="shared" si="7"/>
        <v>844542.93628808844</v>
      </c>
      <c r="M97" s="195">
        <f t="shared" si="8"/>
        <v>673351.80055401649</v>
      </c>
      <c r="N97" s="195">
        <f t="shared" si="9"/>
        <v>1517894.7368421049</v>
      </c>
      <c r="O97" s="243">
        <v>8434</v>
      </c>
      <c r="Q97" s="195"/>
      <c r="R97" s="139"/>
      <c r="S97" s="137"/>
      <c r="T97" s="247"/>
    </row>
    <row r="98" spans="1:20" x14ac:dyDescent="0.2">
      <c r="A98" t="s">
        <v>699</v>
      </c>
      <c r="C98" s="139" t="s">
        <v>501</v>
      </c>
      <c r="D98">
        <v>0.1492</v>
      </c>
      <c r="E98">
        <v>0.13689999999999999</v>
      </c>
      <c r="F98">
        <v>0.1139</v>
      </c>
      <c r="G98" s="247">
        <f t="shared" si="5"/>
        <v>310.99464548468444</v>
      </c>
      <c r="H98">
        <v>2330375426.6211605</v>
      </c>
      <c r="I98">
        <v>397590361.4457832</v>
      </c>
      <c r="J98">
        <v>397590361.4457832</v>
      </c>
      <c r="K98" s="195">
        <f t="shared" si="6"/>
        <v>3476920.1365187718</v>
      </c>
      <c r="L98" s="195">
        <f t="shared" si="7"/>
        <v>544301.20481927716</v>
      </c>
      <c r="M98" s="195">
        <f t="shared" si="8"/>
        <v>452855.42168674705</v>
      </c>
      <c r="N98" s="195">
        <f t="shared" si="9"/>
        <v>997156.62650602427</v>
      </c>
      <c r="O98" s="243">
        <v>11180</v>
      </c>
      <c r="Q98" s="195"/>
      <c r="R98" s="139"/>
      <c r="S98" s="137"/>
      <c r="T98" s="247"/>
    </row>
    <row r="99" spans="1:20" x14ac:dyDescent="0.2">
      <c r="A99" t="s">
        <v>690</v>
      </c>
      <c r="C99" s="139" t="s">
        <v>453</v>
      </c>
      <c r="D99">
        <v>9.733E-2</v>
      </c>
      <c r="E99">
        <v>0.20915</v>
      </c>
      <c r="F99">
        <v>0.16492000000000001</v>
      </c>
      <c r="G99" s="247">
        <f t="shared" si="5"/>
        <v>188.9718870504588</v>
      </c>
      <c r="H99">
        <v>21323360184.119682</v>
      </c>
      <c r="I99">
        <v>8159445211.8512678</v>
      </c>
      <c r="J99">
        <v>8159445211.8512678</v>
      </c>
      <c r="K99" s="195">
        <f t="shared" si="6"/>
        <v>20754026.467203688</v>
      </c>
      <c r="L99" s="195">
        <f t="shared" si="7"/>
        <v>17065479.660586927</v>
      </c>
      <c r="M99" s="195">
        <f t="shared" si="8"/>
        <v>13456557.043385113</v>
      </c>
      <c r="N99" s="195">
        <f t="shared" si="9"/>
        <v>30522036.703972042</v>
      </c>
      <c r="O99" s="243">
        <v>109826</v>
      </c>
      <c r="Q99" s="195"/>
      <c r="R99" s="139"/>
      <c r="S99" s="137"/>
      <c r="T99" s="247"/>
    </row>
    <row r="100" spans="1:20" x14ac:dyDescent="0.2">
      <c r="A100" t="s">
        <v>692</v>
      </c>
      <c r="C100" s="139" t="s">
        <v>256</v>
      </c>
      <c r="D100">
        <v>0.106</v>
      </c>
      <c r="E100">
        <v>0.17100000000000001</v>
      </c>
      <c r="F100">
        <v>0.13600000000000001</v>
      </c>
      <c r="G100" s="247">
        <f t="shared" si="5"/>
        <v>213.30228772089237</v>
      </c>
      <c r="H100">
        <v>2024761904.761905</v>
      </c>
      <c r="I100">
        <v>487666666.66666663</v>
      </c>
      <c r="J100">
        <v>487666666.66666663</v>
      </c>
      <c r="K100" s="195">
        <f t="shared" si="6"/>
        <v>2146247.6190476189</v>
      </c>
      <c r="L100" s="195">
        <f t="shared" si="7"/>
        <v>833910</v>
      </c>
      <c r="M100" s="195">
        <f t="shared" si="8"/>
        <v>663226.66666666663</v>
      </c>
      <c r="N100" s="195">
        <f t="shared" si="9"/>
        <v>1497136.6666666665</v>
      </c>
      <c r="O100" s="243">
        <v>10062</v>
      </c>
      <c r="Q100" s="195"/>
      <c r="R100" s="139"/>
      <c r="S100" s="137"/>
      <c r="T100" s="247"/>
    </row>
    <row r="101" spans="1:20" x14ac:dyDescent="0.2">
      <c r="A101" t="s">
        <v>689</v>
      </c>
      <c r="C101" s="139" t="s">
        <v>165</v>
      </c>
      <c r="D101">
        <v>0.20860000000000001</v>
      </c>
      <c r="E101">
        <v>0.29680000000000001</v>
      </c>
      <c r="F101">
        <v>0.25040000000000001</v>
      </c>
      <c r="G101" s="247">
        <f t="shared" si="5"/>
        <v>295.77063396324758</v>
      </c>
      <c r="H101">
        <v>7041212695.4050217</v>
      </c>
      <c r="I101">
        <v>2171005806.3307734</v>
      </c>
      <c r="J101">
        <v>2171005806.3307734</v>
      </c>
      <c r="K101" s="195">
        <f t="shared" si="6"/>
        <v>14687969.682614874</v>
      </c>
      <c r="L101" s="195">
        <f t="shared" si="7"/>
        <v>6443545.2331897356</v>
      </c>
      <c r="M101" s="195">
        <f t="shared" si="8"/>
        <v>5436198.5390522564</v>
      </c>
      <c r="N101" s="195">
        <f t="shared" si="9"/>
        <v>11879743.772241991</v>
      </c>
      <c r="O101" s="243">
        <v>49660</v>
      </c>
      <c r="Q101" s="195"/>
      <c r="R101" s="139"/>
      <c r="S101" s="137"/>
      <c r="T101" s="247"/>
    </row>
    <row r="102" spans="1:20" x14ac:dyDescent="0.2">
      <c r="A102" t="s">
        <v>691</v>
      </c>
      <c r="C102" s="139" t="s">
        <v>332</v>
      </c>
      <c r="D102">
        <v>0.11070000000000001</v>
      </c>
      <c r="E102">
        <v>0.25609999999999999</v>
      </c>
      <c r="F102">
        <v>0.19500000000000001</v>
      </c>
      <c r="G102" s="247">
        <f t="shared" si="5"/>
        <v>185.98847171694877</v>
      </c>
      <c r="H102">
        <v>1458001768.3465958</v>
      </c>
      <c r="I102">
        <v>397247913.37694561</v>
      </c>
      <c r="J102">
        <v>397247913.37694561</v>
      </c>
      <c r="K102" s="195">
        <f t="shared" si="6"/>
        <v>1614007.9575596815</v>
      </c>
      <c r="L102" s="195">
        <f t="shared" si="7"/>
        <v>1017351.9061583577</v>
      </c>
      <c r="M102" s="195">
        <f t="shared" si="8"/>
        <v>774633.43108504405</v>
      </c>
      <c r="N102" s="195">
        <f t="shared" si="9"/>
        <v>1791985.3372434019</v>
      </c>
      <c r="O102" s="243">
        <v>8678</v>
      </c>
      <c r="Q102" s="195"/>
      <c r="R102" s="139"/>
      <c r="S102" s="137"/>
      <c r="T102" s="247"/>
    </row>
    <row r="103" spans="1:20" x14ac:dyDescent="0.2">
      <c r="A103" t="s">
        <v>695</v>
      </c>
      <c r="C103" s="139" t="s">
        <v>222</v>
      </c>
      <c r="D103">
        <v>0.17080000000000001</v>
      </c>
      <c r="E103">
        <v>0.38290000000000002</v>
      </c>
      <c r="F103">
        <v>0.315</v>
      </c>
      <c r="G103" s="247">
        <f t="shared" si="5"/>
        <v>231.85749325543517</v>
      </c>
      <c r="H103">
        <v>10588747099.767981</v>
      </c>
      <c r="I103">
        <v>3675683754.2968163</v>
      </c>
      <c r="J103">
        <v>3675683754.2968163</v>
      </c>
      <c r="K103" s="195">
        <f t="shared" si="6"/>
        <v>18085580.04640371</v>
      </c>
      <c r="L103" s="195">
        <f t="shared" si="7"/>
        <v>14074193.095202511</v>
      </c>
      <c r="M103" s="195">
        <f t="shared" si="8"/>
        <v>11578403.826034972</v>
      </c>
      <c r="N103" s="195">
        <f t="shared" si="9"/>
        <v>25652596.921237484</v>
      </c>
      <c r="O103" s="243">
        <v>78003</v>
      </c>
      <c r="Q103" s="195"/>
      <c r="R103" s="139"/>
      <c r="S103" s="137"/>
      <c r="T103" s="247"/>
    </row>
    <row r="104" spans="1:20" x14ac:dyDescent="0.2">
      <c r="A104" t="s">
        <v>692</v>
      </c>
      <c r="C104" s="139" t="s">
        <v>257</v>
      </c>
      <c r="D104">
        <v>0.1041</v>
      </c>
      <c r="E104">
        <v>0.1404</v>
      </c>
      <c r="F104">
        <v>0.1111</v>
      </c>
      <c r="G104" s="247">
        <f t="shared" si="5"/>
        <v>256.63944592715194</v>
      </c>
      <c r="H104">
        <v>3687866927.5929546</v>
      </c>
      <c r="I104">
        <v>675420599.0972507</v>
      </c>
      <c r="J104">
        <v>675420599.0972507</v>
      </c>
      <c r="K104" s="195">
        <f t="shared" si="6"/>
        <v>3839069.4716242659</v>
      </c>
      <c r="L104" s="195">
        <f t="shared" si="7"/>
        <v>948290.52113253996</v>
      </c>
      <c r="M104" s="195">
        <f t="shared" si="8"/>
        <v>750392.28559704556</v>
      </c>
      <c r="N104" s="195">
        <f t="shared" si="9"/>
        <v>1698682.8067295854</v>
      </c>
      <c r="O104" s="243">
        <v>14959</v>
      </c>
      <c r="Q104" s="195"/>
      <c r="R104" s="139"/>
      <c r="S104" s="137"/>
      <c r="T104" s="247"/>
    </row>
    <row r="105" spans="1:20" x14ac:dyDescent="0.2">
      <c r="A105" t="s">
        <v>692</v>
      </c>
      <c r="C105" s="139" t="s">
        <v>258</v>
      </c>
      <c r="D105">
        <v>0.10589999999999999</v>
      </c>
      <c r="E105">
        <v>0.27189999999999998</v>
      </c>
      <c r="F105">
        <v>0.21840000000000001</v>
      </c>
      <c r="G105" s="247">
        <f t="shared" si="5"/>
        <v>179.66445700339776</v>
      </c>
      <c r="H105">
        <v>2747899159.6638656</v>
      </c>
      <c r="I105">
        <v>654136917.26165473</v>
      </c>
      <c r="J105">
        <v>654136917.26165473</v>
      </c>
      <c r="K105" s="195">
        <f t="shared" si="6"/>
        <v>2910025.2100840337</v>
      </c>
      <c r="L105" s="195">
        <f t="shared" si="7"/>
        <v>1778598.2780344391</v>
      </c>
      <c r="M105" s="195">
        <f t="shared" si="8"/>
        <v>1428635.027299454</v>
      </c>
      <c r="N105" s="195">
        <f t="shared" si="9"/>
        <v>3207233.3053338928</v>
      </c>
      <c r="O105" s="243">
        <v>16197</v>
      </c>
      <c r="Q105" s="195"/>
      <c r="R105" s="139"/>
      <c r="S105" s="137"/>
      <c r="T105" s="247"/>
    </row>
    <row r="106" spans="1:20" x14ac:dyDescent="0.2">
      <c r="A106" t="s">
        <v>690</v>
      </c>
      <c r="C106" s="139" t="s">
        <v>454</v>
      </c>
      <c r="D106">
        <v>0.115</v>
      </c>
      <c r="E106">
        <v>0.17899999999999999</v>
      </c>
      <c r="F106">
        <v>0.1474</v>
      </c>
      <c r="G106" s="247">
        <f t="shared" si="5"/>
        <v>243.31215311123964</v>
      </c>
      <c r="H106">
        <v>3923884514.4356956</v>
      </c>
      <c r="I106">
        <v>1122016806.7226892</v>
      </c>
      <c r="J106">
        <v>1122016806.7226892</v>
      </c>
      <c r="K106" s="195">
        <f t="shared" si="6"/>
        <v>4512467.1916010501</v>
      </c>
      <c r="L106" s="195">
        <f t="shared" si="7"/>
        <v>2008410.0840336136</v>
      </c>
      <c r="M106" s="195">
        <f t="shared" si="8"/>
        <v>1653852.7731092437</v>
      </c>
      <c r="N106" s="195">
        <f t="shared" si="9"/>
        <v>3662262.8571428573</v>
      </c>
      <c r="O106" s="243">
        <v>18546</v>
      </c>
      <c r="Q106" s="195"/>
      <c r="R106" s="139"/>
      <c r="S106" s="137"/>
      <c r="T106" s="247"/>
    </row>
    <row r="107" spans="1:20" x14ac:dyDescent="0.2">
      <c r="A107" t="s">
        <v>693</v>
      </c>
      <c r="C107" s="139" t="s">
        <v>201</v>
      </c>
      <c r="D107">
        <v>0.18658</v>
      </c>
      <c r="E107">
        <v>0.24748999999999999</v>
      </c>
      <c r="F107">
        <v>0.16958999999999999</v>
      </c>
      <c r="G107" s="247">
        <f t="shared" si="5"/>
        <v>247.76748501842781</v>
      </c>
      <c r="H107">
        <v>514444869.20430344</v>
      </c>
      <c r="I107">
        <v>173930477.93288389</v>
      </c>
      <c r="J107">
        <v>173930477.93288389</v>
      </c>
      <c r="K107" s="195">
        <f t="shared" si="6"/>
        <v>959851.23696138931</v>
      </c>
      <c r="L107" s="195">
        <f t="shared" si="7"/>
        <v>430460.53983609431</v>
      </c>
      <c r="M107" s="195">
        <f t="shared" si="8"/>
        <v>294968.6975263778</v>
      </c>
      <c r="N107" s="195">
        <f t="shared" si="9"/>
        <v>725429.23736247211</v>
      </c>
      <c r="O107" s="243">
        <v>3874</v>
      </c>
      <c r="Q107" s="195"/>
      <c r="R107" s="139"/>
      <c r="S107" s="137"/>
      <c r="T107" s="247"/>
    </row>
    <row r="108" spans="1:20" x14ac:dyDescent="0.2">
      <c r="A108" t="s">
        <v>693</v>
      </c>
      <c r="C108" s="139" t="s">
        <v>202</v>
      </c>
      <c r="D108">
        <v>0.16350000000000001</v>
      </c>
      <c r="E108">
        <v>0.1925</v>
      </c>
      <c r="F108">
        <v>0.154</v>
      </c>
      <c r="G108" s="247">
        <f t="shared" si="5"/>
        <v>222.12779376560633</v>
      </c>
      <c r="H108">
        <v>1316463805.2530429</v>
      </c>
      <c r="I108">
        <v>377971712.3081553</v>
      </c>
      <c r="J108">
        <v>377971712.3081553</v>
      </c>
      <c r="K108" s="195">
        <f t="shared" si="6"/>
        <v>2152418.3215887253</v>
      </c>
      <c r="L108" s="195">
        <f t="shared" si="7"/>
        <v>727595.546193199</v>
      </c>
      <c r="M108" s="195">
        <f t="shared" si="8"/>
        <v>582076.43695455918</v>
      </c>
      <c r="N108" s="195">
        <f t="shared" si="9"/>
        <v>1309671.9831477581</v>
      </c>
      <c r="O108" s="243">
        <v>9690</v>
      </c>
      <c r="Q108" s="195"/>
      <c r="R108" s="139"/>
      <c r="S108" s="137"/>
      <c r="T108" s="247"/>
    </row>
    <row r="109" spans="1:20" x14ac:dyDescent="0.2">
      <c r="A109" t="s">
        <v>690</v>
      </c>
      <c r="C109" s="139" t="s">
        <v>455</v>
      </c>
      <c r="D109">
        <v>0.12540000000000001</v>
      </c>
      <c r="E109">
        <v>0.21659999999999999</v>
      </c>
      <c r="F109">
        <v>0.17230000000000001</v>
      </c>
      <c r="G109" s="247">
        <f t="shared" si="5"/>
        <v>239.88527267657255</v>
      </c>
      <c r="H109">
        <v>1846963562.7530365</v>
      </c>
      <c r="I109">
        <v>773237997.9570992</v>
      </c>
      <c r="J109">
        <v>773237997.9570992</v>
      </c>
      <c r="K109" s="195">
        <f t="shared" si="6"/>
        <v>2316092.307692308</v>
      </c>
      <c r="L109" s="195">
        <f t="shared" si="7"/>
        <v>1674833.5035750768</v>
      </c>
      <c r="M109" s="195">
        <f t="shared" si="8"/>
        <v>1332289.070480082</v>
      </c>
      <c r="N109" s="195">
        <f t="shared" si="9"/>
        <v>3007122.5740551585</v>
      </c>
      <c r="O109" s="243">
        <v>9655</v>
      </c>
      <c r="Q109" s="195"/>
      <c r="R109" s="139"/>
      <c r="S109" s="137"/>
      <c r="T109" s="247"/>
    </row>
    <row r="110" spans="1:20" x14ac:dyDescent="0.2">
      <c r="A110" t="s">
        <v>692</v>
      </c>
      <c r="C110" s="139" t="s">
        <v>259</v>
      </c>
      <c r="D110">
        <v>0.15040000000000001</v>
      </c>
      <c r="E110">
        <v>0.31900000000000001</v>
      </c>
      <c r="F110">
        <v>0.26050000000000001</v>
      </c>
      <c r="G110" s="247">
        <f t="shared" si="5"/>
        <v>374.91081455068746</v>
      </c>
      <c r="H110">
        <v>2661517797.1793151</v>
      </c>
      <c r="I110">
        <v>537340291.52420378</v>
      </c>
      <c r="J110">
        <v>537340291.52420378</v>
      </c>
      <c r="K110" s="195">
        <f t="shared" si="6"/>
        <v>4002922.76695769</v>
      </c>
      <c r="L110" s="195">
        <f t="shared" si="7"/>
        <v>1714115.52996221</v>
      </c>
      <c r="M110" s="195">
        <f t="shared" si="8"/>
        <v>1399771.4594205508</v>
      </c>
      <c r="N110" s="195">
        <f t="shared" si="9"/>
        <v>3113886.9893827606</v>
      </c>
      <c r="O110" s="243">
        <v>10677</v>
      </c>
      <c r="Q110" s="195"/>
      <c r="R110" s="139"/>
      <c r="S110" s="137"/>
      <c r="T110" s="247"/>
    </row>
    <row r="111" spans="1:20" x14ac:dyDescent="0.2">
      <c r="A111" t="s">
        <v>690</v>
      </c>
      <c r="C111" s="139" t="s">
        <v>456</v>
      </c>
      <c r="D111">
        <v>8.2900000000000001E-2</v>
      </c>
      <c r="E111">
        <v>0.14899999999999999</v>
      </c>
      <c r="F111">
        <v>0.1212</v>
      </c>
      <c r="G111" s="247">
        <f t="shared" si="5"/>
        <v>183.48696852771786</v>
      </c>
      <c r="H111">
        <v>3874695863.7469587</v>
      </c>
      <c r="I111">
        <v>623520427.64413893</v>
      </c>
      <c r="J111">
        <v>623520427.64413893</v>
      </c>
      <c r="K111" s="195">
        <f t="shared" si="6"/>
        <v>3212122.8710462288</v>
      </c>
      <c r="L111" s="195">
        <f t="shared" si="7"/>
        <v>929045.4371897669</v>
      </c>
      <c r="M111" s="195">
        <f t="shared" si="8"/>
        <v>755706.75830469641</v>
      </c>
      <c r="N111" s="195">
        <f t="shared" si="9"/>
        <v>1684752.1954944632</v>
      </c>
      <c r="O111" s="243">
        <v>17506</v>
      </c>
      <c r="Q111" s="195"/>
      <c r="R111" s="139"/>
      <c r="S111" s="137"/>
      <c r="T111" s="247"/>
    </row>
    <row r="112" spans="1:20" x14ac:dyDescent="0.2">
      <c r="A112" t="s">
        <v>690</v>
      </c>
      <c r="C112" s="139" t="s">
        <v>457</v>
      </c>
      <c r="D112">
        <v>0.166687</v>
      </c>
      <c r="E112">
        <v>0.22245500000000001</v>
      </c>
      <c r="F112">
        <v>0.172236</v>
      </c>
      <c r="G112" s="247">
        <f t="shared" si="5"/>
        <v>358.73486601024058</v>
      </c>
      <c r="H112">
        <v>2726124141.5057664</v>
      </c>
      <c r="I112">
        <v>706198907.75177014</v>
      </c>
      <c r="J112">
        <v>706198907.75177014</v>
      </c>
      <c r="K112" s="195">
        <f t="shared" si="6"/>
        <v>4544094.5477517173</v>
      </c>
      <c r="L112" s="195">
        <f t="shared" si="7"/>
        <v>1570974.7802392002</v>
      </c>
      <c r="M112" s="195">
        <f t="shared" si="8"/>
        <v>1216328.7507553389</v>
      </c>
      <c r="N112" s="195">
        <f t="shared" si="9"/>
        <v>2787303.5309945391</v>
      </c>
      <c r="O112" s="243">
        <v>12667</v>
      </c>
      <c r="Q112" s="195"/>
      <c r="R112" s="139"/>
      <c r="S112" s="137"/>
      <c r="T112" s="247"/>
    </row>
    <row r="113" spans="1:20" x14ac:dyDescent="0.2">
      <c r="A113" t="s">
        <v>699</v>
      </c>
      <c r="C113" s="139" t="s">
        <v>502</v>
      </c>
      <c r="D113">
        <v>0.1187</v>
      </c>
      <c r="E113">
        <v>0.17649999999999999</v>
      </c>
      <c r="F113">
        <v>0.1318</v>
      </c>
      <c r="G113" s="247">
        <f t="shared" si="5"/>
        <v>203.26415763308967</v>
      </c>
      <c r="H113">
        <v>1469255663.4304206</v>
      </c>
      <c r="I113">
        <v>420696324.95164406</v>
      </c>
      <c r="J113">
        <v>420696324.95164406</v>
      </c>
      <c r="K113" s="195">
        <f t="shared" si="6"/>
        <v>1744006.4724919093</v>
      </c>
      <c r="L113" s="195">
        <f t="shared" si="7"/>
        <v>742529.01353965176</v>
      </c>
      <c r="M113" s="195">
        <f t="shared" si="8"/>
        <v>554477.75628626684</v>
      </c>
      <c r="N113" s="195">
        <f t="shared" si="9"/>
        <v>1297006.7698259186</v>
      </c>
      <c r="O113" s="243">
        <v>8580</v>
      </c>
      <c r="Q113" s="195"/>
      <c r="R113" s="139"/>
      <c r="S113" s="137"/>
      <c r="T113" s="247"/>
    </row>
    <row r="114" spans="1:20" x14ac:dyDescent="0.2">
      <c r="A114" t="s">
        <v>694</v>
      </c>
      <c r="C114" s="139" t="s">
        <v>375</v>
      </c>
      <c r="D114">
        <v>0.11749999999999999</v>
      </c>
      <c r="E114">
        <v>0.16220000000000001</v>
      </c>
      <c r="F114">
        <v>0.13589999999999999</v>
      </c>
      <c r="G114" s="247">
        <f t="shared" si="5"/>
        <v>302.5924758819927</v>
      </c>
      <c r="H114">
        <v>1528413910.0932994</v>
      </c>
      <c r="I114">
        <v>337055837.56345183</v>
      </c>
      <c r="J114">
        <v>337055837.56345183</v>
      </c>
      <c r="K114" s="195">
        <f t="shared" si="6"/>
        <v>1795886.3443596268</v>
      </c>
      <c r="L114" s="195">
        <f t="shared" si="7"/>
        <v>546704.56852791889</v>
      </c>
      <c r="M114" s="195">
        <f t="shared" si="8"/>
        <v>458058.88324873097</v>
      </c>
      <c r="N114" s="195">
        <f t="shared" si="9"/>
        <v>1004763.4517766498</v>
      </c>
      <c r="O114" s="243">
        <v>5935</v>
      </c>
      <c r="Q114" s="195"/>
      <c r="R114" s="139"/>
      <c r="S114" s="137"/>
      <c r="T114" s="247"/>
    </row>
    <row r="115" spans="1:20" x14ac:dyDescent="0.2">
      <c r="A115" t="s">
        <v>690</v>
      </c>
      <c r="C115" s="139" t="s">
        <v>458</v>
      </c>
      <c r="D115">
        <v>0.1052</v>
      </c>
      <c r="E115">
        <v>0.21199999999999999</v>
      </c>
      <c r="F115">
        <v>0.17100000000000001</v>
      </c>
      <c r="G115" s="247">
        <f t="shared" si="5"/>
        <v>215.48611941573421</v>
      </c>
      <c r="H115">
        <v>2355599214.1453834</v>
      </c>
      <c r="I115">
        <v>849473968.16833019</v>
      </c>
      <c r="J115">
        <v>849473968.16833019</v>
      </c>
      <c r="K115" s="195">
        <f t="shared" si="6"/>
        <v>2478090.3732809434</v>
      </c>
      <c r="L115" s="195">
        <f t="shared" si="7"/>
        <v>1800884.81251686</v>
      </c>
      <c r="M115" s="195">
        <f t="shared" si="8"/>
        <v>1452600.4855678447</v>
      </c>
      <c r="N115" s="195">
        <f t="shared" si="9"/>
        <v>3253485.2980847047</v>
      </c>
      <c r="O115" s="243">
        <v>11500</v>
      </c>
      <c r="Q115" s="195"/>
      <c r="R115" s="139"/>
      <c r="S115" s="137"/>
      <c r="T115" s="247"/>
    </row>
    <row r="116" spans="1:20" x14ac:dyDescent="0.2">
      <c r="A116" t="s">
        <v>694</v>
      </c>
      <c r="C116" s="139" t="s">
        <v>376</v>
      </c>
      <c r="D116">
        <v>0.11359</v>
      </c>
      <c r="E116">
        <v>0.11985999999999999</v>
      </c>
      <c r="F116">
        <v>8.9550000000000005E-2</v>
      </c>
      <c r="G116" s="247">
        <f t="shared" si="5"/>
        <v>187.97392819362918</v>
      </c>
      <c r="H116">
        <v>4627114188.0641479</v>
      </c>
      <c r="I116">
        <v>1077820820.8699062</v>
      </c>
      <c r="J116">
        <v>1077820820.8699062</v>
      </c>
      <c r="K116" s="195">
        <f t="shared" si="6"/>
        <v>5255939.0062220655</v>
      </c>
      <c r="L116" s="195">
        <f t="shared" si="7"/>
        <v>1291876.0358946694</v>
      </c>
      <c r="M116" s="195">
        <f t="shared" si="8"/>
        <v>965188.54508900107</v>
      </c>
      <c r="N116" s="195">
        <f t="shared" si="9"/>
        <v>2257064.5809836704</v>
      </c>
      <c r="O116" s="243">
        <v>27961</v>
      </c>
      <c r="Q116" s="195"/>
      <c r="R116" s="139"/>
      <c r="S116" s="137"/>
      <c r="T116" s="247"/>
    </row>
    <row r="117" spans="1:20" x14ac:dyDescent="0.2">
      <c r="A117" t="s">
        <v>701</v>
      </c>
      <c r="C117" s="139" t="s">
        <v>422</v>
      </c>
      <c r="D117">
        <v>0.14019999999999999</v>
      </c>
      <c r="E117">
        <v>0.2417</v>
      </c>
      <c r="F117">
        <v>0.18479999999999999</v>
      </c>
      <c r="G117" s="247">
        <f t="shared" si="5"/>
        <v>255.10348398591898</v>
      </c>
      <c r="H117">
        <v>3338362068.9655175</v>
      </c>
      <c r="I117">
        <v>1210551558.7529974</v>
      </c>
      <c r="J117">
        <v>1210551558.7529974</v>
      </c>
      <c r="K117" s="195">
        <f t="shared" si="6"/>
        <v>4680383.6206896557</v>
      </c>
      <c r="L117" s="195">
        <f t="shared" si="7"/>
        <v>2925903.1175059946</v>
      </c>
      <c r="M117" s="195">
        <f t="shared" si="8"/>
        <v>2237099.280575539</v>
      </c>
      <c r="N117" s="195">
        <f t="shared" si="9"/>
        <v>5163002.3980815336</v>
      </c>
      <c r="O117" s="243">
        <v>18347</v>
      </c>
      <c r="Q117" s="195"/>
      <c r="R117" s="139"/>
      <c r="S117" s="137"/>
      <c r="T117" s="247"/>
    </row>
    <row r="118" spans="1:20" x14ac:dyDescent="0.2">
      <c r="A118" t="s">
        <v>690</v>
      </c>
      <c r="C118" s="139" t="s">
        <v>459</v>
      </c>
      <c r="D118">
        <v>0.1173</v>
      </c>
      <c r="E118">
        <v>0.21360000000000001</v>
      </c>
      <c r="F118">
        <v>0.17219999999999999</v>
      </c>
      <c r="G118" s="247">
        <f t="shared" si="5"/>
        <v>279.95564252788347</v>
      </c>
      <c r="H118">
        <v>2376162299.2392225</v>
      </c>
      <c r="I118">
        <v>379272326.35060638</v>
      </c>
      <c r="J118">
        <v>379272326.35060638</v>
      </c>
      <c r="K118" s="195">
        <f t="shared" si="6"/>
        <v>2787238.3770076078</v>
      </c>
      <c r="L118" s="195">
        <f t="shared" si="7"/>
        <v>810125.6890848953</v>
      </c>
      <c r="M118" s="195">
        <f t="shared" si="8"/>
        <v>653106.94597574417</v>
      </c>
      <c r="N118" s="195">
        <f t="shared" si="9"/>
        <v>1463232.6350606396</v>
      </c>
      <c r="O118" s="243">
        <v>9956</v>
      </c>
      <c r="Q118" s="195"/>
      <c r="R118" s="139"/>
      <c r="S118" s="137"/>
      <c r="T118" s="247"/>
    </row>
    <row r="119" spans="1:20" x14ac:dyDescent="0.2">
      <c r="A119" t="s">
        <v>691</v>
      </c>
      <c r="C119" s="139" t="s">
        <v>637</v>
      </c>
      <c r="D119">
        <v>0.1089</v>
      </c>
      <c r="E119">
        <v>0.17449999999999999</v>
      </c>
      <c r="F119">
        <v>0.1452</v>
      </c>
      <c r="G119" s="247">
        <f t="shared" si="5"/>
        <v>347.35152054026713</v>
      </c>
      <c r="H119">
        <v>8410436082.2826118</v>
      </c>
      <c r="I119">
        <v>1058462384.7410066</v>
      </c>
      <c r="J119">
        <v>1058462384.7410066</v>
      </c>
      <c r="K119" s="195">
        <f t="shared" si="6"/>
        <v>9158964.8936057631</v>
      </c>
      <c r="L119" s="195">
        <f t="shared" si="7"/>
        <v>1847016.8613730564</v>
      </c>
      <c r="M119" s="195">
        <f t="shared" si="8"/>
        <v>1536887.3826439416</v>
      </c>
      <c r="N119" s="195">
        <f t="shared" si="9"/>
        <v>3383904.244016998</v>
      </c>
      <c r="O119" s="243">
        <v>26368</v>
      </c>
      <c r="Q119" s="195"/>
      <c r="R119" s="139"/>
      <c r="S119" s="137"/>
      <c r="T119" s="247"/>
    </row>
    <row r="120" spans="1:20" x14ac:dyDescent="0.2">
      <c r="A120" t="s">
        <v>694</v>
      </c>
      <c r="C120" s="139" t="s">
        <v>377</v>
      </c>
      <c r="D120">
        <v>0.1371</v>
      </c>
      <c r="E120">
        <v>0.30620000000000003</v>
      </c>
      <c r="F120">
        <v>0.24579999999999999</v>
      </c>
      <c r="G120" s="247">
        <f t="shared" si="5"/>
        <v>251.11649236247246</v>
      </c>
      <c r="H120">
        <v>2966691339.7483344</v>
      </c>
      <c r="I120">
        <v>883756152.97235906</v>
      </c>
      <c r="J120">
        <v>883756152.97235906</v>
      </c>
      <c r="K120" s="195">
        <f t="shared" si="6"/>
        <v>4067333.8267949666</v>
      </c>
      <c r="L120" s="195">
        <f t="shared" si="7"/>
        <v>2706061.340401364</v>
      </c>
      <c r="M120" s="195">
        <f t="shared" si="8"/>
        <v>2172272.6240060586</v>
      </c>
      <c r="N120" s="195">
        <f t="shared" si="9"/>
        <v>4878333.9644074226</v>
      </c>
      <c r="O120" s="243">
        <v>16197</v>
      </c>
      <c r="Q120" s="195"/>
      <c r="R120" s="139"/>
      <c r="S120" s="137"/>
      <c r="T120" s="247"/>
    </row>
    <row r="121" spans="1:20" x14ac:dyDescent="0.2">
      <c r="A121" t="s">
        <v>694</v>
      </c>
      <c r="C121" s="139" t="s">
        <v>378</v>
      </c>
      <c r="D121">
        <v>0.1527</v>
      </c>
      <c r="E121">
        <v>0.27939999999999998</v>
      </c>
      <c r="F121">
        <v>0.2228</v>
      </c>
      <c r="G121" s="247">
        <f t="shared" si="5"/>
        <v>255.13721938630684</v>
      </c>
      <c r="H121">
        <v>5392969240.4268675</v>
      </c>
      <c r="I121">
        <v>1599679422.9613304</v>
      </c>
      <c r="J121">
        <v>1599679422.9613304</v>
      </c>
      <c r="K121" s="195">
        <f t="shared" si="6"/>
        <v>8235064.0301318262</v>
      </c>
      <c r="L121" s="195">
        <f t="shared" si="7"/>
        <v>4469504.3077539569</v>
      </c>
      <c r="M121" s="195">
        <f t="shared" si="8"/>
        <v>3564085.7543578441</v>
      </c>
      <c r="N121" s="195">
        <f t="shared" si="9"/>
        <v>8033590.0621118005</v>
      </c>
      <c r="O121" s="243">
        <v>32277</v>
      </c>
      <c r="Q121" s="195"/>
      <c r="R121" s="139"/>
      <c r="S121" s="137"/>
      <c r="T121" s="247"/>
    </row>
    <row r="122" spans="1:20" x14ac:dyDescent="0.2">
      <c r="A122" t="s">
        <v>690</v>
      </c>
      <c r="C122" s="139" t="s">
        <v>460</v>
      </c>
      <c r="D122">
        <v>0.14779999999999999</v>
      </c>
      <c r="E122">
        <v>0.20549999999999999</v>
      </c>
      <c r="F122">
        <v>0.1661</v>
      </c>
      <c r="G122" s="247">
        <f t="shared" si="5"/>
        <v>291.36456263395507</v>
      </c>
      <c r="H122">
        <v>1080887616.3206873</v>
      </c>
      <c r="I122">
        <v>206135321.10091743</v>
      </c>
      <c r="J122">
        <v>206135321.10091743</v>
      </c>
      <c r="K122" s="195">
        <f t="shared" si="6"/>
        <v>1597551.8969219755</v>
      </c>
      <c r="L122" s="195">
        <f t="shared" si="7"/>
        <v>423608.08486238529</v>
      </c>
      <c r="M122" s="195">
        <f t="shared" si="8"/>
        <v>342390.76834862382</v>
      </c>
      <c r="N122" s="195">
        <f t="shared" si="9"/>
        <v>765998.85321100918</v>
      </c>
      <c r="O122" s="243">
        <v>5483</v>
      </c>
      <c r="Q122" s="195"/>
      <c r="R122" s="139"/>
      <c r="S122" s="137"/>
      <c r="T122" s="247"/>
    </row>
    <row r="123" spans="1:20" x14ac:dyDescent="0.2">
      <c r="A123" t="s">
        <v>698</v>
      </c>
      <c r="C123" s="139" t="s">
        <v>180</v>
      </c>
      <c r="D123">
        <v>0.17150000000000001</v>
      </c>
      <c r="E123">
        <v>0.46010000000000001</v>
      </c>
      <c r="F123">
        <v>0.3705</v>
      </c>
      <c r="G123" s="247">
        <f t="shared" si="5"/>
        <v>229.53568173423142</v>
      </c>
      <c r="H123">
        <v>14457803468.208092</v>
      </c>
      <c r="I123">
        <v>6148443432.0425205</v>
      </c>
      <c r="J123">
        <v>6148443432.0425205</v>
      </c>
      <c r="K123" s="195">
        <f t="shared" si="6"/>
        <v>24795132.94797688</v>
      </c>
      <c r="L123" s="195">
        <f t="shared" si="7"/>
        <v>28288988.230827637</v>
      </c>
      <c r="M123" s="195">
        <f t="shared" si="8"/>
        <v>22779982.915717538</v>
      </c>
      <c r="N123" s="195">
        <f t="shared" si="9"/>
        <v>51068971.146545172</v>
      </c>
      <c r="O123" s="243">
        <v>108023</v>
      </c>
      <c r="Q123" s="195"/>
      <c r="R123" s="139"/>
      <c r="S123" s="137"/>
      <c r="T123" s="247"/>
    </row>
    <row r="124" spans="1:20" x14ac:dyDescent="0.2">
      <c r="A124" t="s">
        <v>698</v>
      </c>
      <c r="C124" s="139" t="s">
        <v>181</v>
      </c>
      <c r="D124">
        <v>0.13239999999999999</v>
      </c>
      <c r="E124">
        <v>0.21809999999999999</v>
      </c>
      <c r="F124">
        <v>0.17030000000000001</v>
      </c>
      <c r="G124" s="247">
        <f t="shared" si="5"/>
        <v>202.87142446852064</v>
      </c>
      <c r="H124">
        <v>759848484.84848475</v>
      </c>
      <c r="I124">
        <v>165593613.18568119</v>
      </c>
      <c r="J124">
        <v>165593613.18568119</v>
      </c>
      <c r="K124" s="195">
        <f t="shared" si="6"/>
        <v>1006039.3939393938</v>
      </c>
      <c r="L124" s="195">
        <f t="shared" si="7"/>
        <v>361159.6703579707</v>
      </c>
      <c r="M124" s="195">
        <f t="shared" si="8"/>
        <v>282005.92325521511</v>
      </c>
      <c r="N124" s="195">
        <f t="shared" si="9"/>
        <v>643165.5936131858</v>
      </c>
      <c r="O124" s="243">
        <v>4959</v>
      </c>
      <c r="Q124" s="195"/>
      <c r="R124" s="139"/>
      <c r="S124" s="137"/>
      <c r="T124" s="247"/>
    </row>
    <row r="125" spans="1:20" x14ac:dyDescent="0.2">
      <c r="A125" t="s">
        <v>699</v>
      </c>
      <c r="C125" s="139" t="s">
        <v>503</v>
      </c>
      <c r="D125">
        <v>0.16500000000000001</v>
      </c>
      <c r="E125">
        <v>0.28899999999999998</v>
      </c>
      <c r="F125">
        <v>0.23100000000000001</v>
      </c>
      <c r="G125" s="247">
        <f t="shared" si="5"/>
        <v>277.63566454116409</v>
      </c>
      <c r="H125">
        <v>1210828025.4777069</v>
      </c>
      <c r="I125">
        <v>246262626.26262629</v>
      </c>
      <c r="J125">
        <v>246262626.26262629</v>
      </c>
      <c r="K125" s="195">
        <f t="shared" si="6"/>
        <v>1997866.2420382167</v>
      </c>
      <c r="L125" s="195">
        <f t="shared" si="7"/>
        <v>711698.98989898991</v>
      </c>
      <c r="M125" s="195">
        <f t="shared" si="8"/>
        <v>568866.66666666674</v>
      </c>
      <c r="N125" s="195">
        <f t="shared" si="9"/>
        <v>1280565.6565656567</v>
      </c>
      <c r="O125" s="243">
        <v>7196</v>
      </c>
      <c r="Q125" s="195"/>
      <c r="R125" s="139"/>
      <c r="S125" s="137"/>
      <c r="T125" s="247"/>
    </row>
    <row r="126" spans="1:20" x14ac:dyDescent="0.2">
      <c r="A126" t="s">
        <v>695</v>
      </c>
      <c r="C126" s="139" t="s">
        <v>223</v>
      </c>
      <c r="D126">
        <v>0.14080000000000001</v>
      </c>
      <c r="E126">
        <v>0.21510000000000001</v>
      </c>
      <c r="F126">
        <v>0.17299999999999999</v>
      </c>
      <c r="G126" s="247">
        <f t="shared" si="5"/>
        <v>268.16914698403843</v>
      </c>
      <c r="H126">
        <v>2008221225.7100151</v>
      </c>
      <c r="I126">
        <v>539005164.44686055</v>
      </c>
      <c r="J126">
        <v>539005164.44686055</v>
      </c>
      <c r="K126" s="195">
        <f t="shared" si="6"/>
        <v>2827575.4857997014</v>
      </c>
      <c r="L126" s="195">
        <f t="shared" si="7"/>
        <v>1159400.1087251971</v>
      </c>
      <c r="M126" s="195">
        <f t="shared" si="8"/>
        <v>932478.93449306872</v>
      </c>
      <c r="N126" s="195">
        <f t="shared" si="9"/>
        <v>2091879.0432182658</v>
      </c>
      <c r="O126" s="243">
        <v>10544</v>
      </c>
      <c r="Q126" s="195"/>
      <c r="R126" s="139"/>
      <c r="S126" s="137"/>
      <c r="T126" s="247"/>
    </row>
    <row r="127" spans="1:20" x14ac:dyDescent="0.2">
      <c r="A127" t="s">
        <v>690</v>
      </c>
      <c r="C127" s="139" t="s">
        <v>461</v>
      </c>
      <c r="D127">
        <v>0.13420000000000001</v>
      </c>
      <c r="E127">
        <v>0.20649999999999999</v>
      </c>
      <c r="F127">
        <v>0.15540000000000001</v>
      </c>
      <c r="G127" s="247">
        <f t="shared" si="5"/>
        <v>363.87222265737194</v>
      </c>
      <c r="H127">
        <v>1629019607.8431373</v>
      </c>
      <c r="I127">
        <v>302887448.43842071</v>
      </c>
      <c r="J127">
        <v>302887448.43842071</v>
      </c>
      <c r="K127" s="195">
        <f t="shared" si="6"/>
        <v>2186144.3137254906</v>
      </c>
      <c r="L127" s="195">
        <f t="shared" si="7"/>
        <v>625462.58102533873</v>
      </c>
      <c r="M127" s="195">
        <f t="shared" si="8"/>
        <v>470687.09487330576</v>
      </c>
      <c r="N127" s="195">
        <f t="shared" si="9"/>
        <v>1096149.6758986446</v>
      </c>
      <c r="O127" s="243">
        <v>6008</v>
      </c>
      <c r="Q127" s="195"/>
      <c r="R127" s="139"/>
      <c r="S127" s="137"/>
      <c r="T127" s="247"/>
    </row>
    <row r="128" spans="1:20" x14ac:dyDescent="0.2">
      <c r="A128" t="s">
        <v>691</v>
      </c>
      <c r="C128" s="139" t="s">
        <v>333</v>
      </c>
      <c r="D128">
        <v>0.11833</v>
      </c>
      <c r="E128">
        <v>0.28655000000000003</v>
      </c>
      <c r="F128">
        <v>0.22906000000000001</v>
      </c>
      <c r="G128" s="247">
        <f t="shared" si="5"/>
        <v>261.78747686041618</v>
      </c>
      <c r="H128">
        <v>16490420814.858194</v>
      </c>
      <c r="I128">
        <v>3911884991.9444785</v>
      </c>
      <c r="J128">
        <v>3911884991.9444785</v>
      </c>
      <c r="K128" s="195">
        <f t="shared" si="6"/>
        <v>19513114.950221702</v>
      </c>
      <c r="L128" s="195">
        <f t="shared" si="7"/>
        <v>11209506.444416905</v>
      </c>
      <c r="M128" s="195">
        <f t="shared" si="8"/>
        <v>8960563.7625480238</v>
      </c>
      <c r="N128" s="195">
        <f t="shared" si="9"/>
        <v>20170070.206964929</v>
      </c>
      <c r="O128" s="243">
        <v>74538</v>
      </c>
      <c r="Q128" s="195"/>
      <c r="R128" s="139"/>
      <c r="S128" s="137"/>
      <c r="T128" s="247"/>
    </row>
    <row r="129" spans="1:20" x14ac:dyDescent="0.2">
      <c r="A129" t="s">
        <v>691</v>
      </c>
      <c r="C129" s="139" t="s">
        <v>539</v>
      </c>
      <c r="D129">
        <v>0.12770000000000001</v>
      </c>
      <c r="E129">
        <v>0.214</v>
      </c>
      <c r="F129">
        <v>0.161</v>
      </c>
      <c r="G129" s="247">
        <f t="shared" si="5"/>
        <v>327.63301226923517</v>
      </c>
      <c r="H129">
        <v>588815789.47368419</v>
      </c>
      <c r="I129">
        <v>135816297.9557547</v>
      </c>
      <c r="J129">
        <v>135816297.9557547</v>
      </c>
      <c r="K129" s="195">
        <f t="shared" si="6"/>
        <v>751917.76315789472</v>
      </c>
      <c r="L129" s="195">
        <f t="shared" si="7"/>
        <v>290646.87762531504</v>
      </c>
      <c r="M129" s="195">
        <f t="shared" si="8"/>
        <v>218664.23970876506</v>
      </c>
      <c r="N129" s="195">
        <f t="shared" si="9"/>
        <v>509311.1173340801</v>
      </c>
      <c r="O129" s="243">
        <v>2295</v>
      </c>
      <c r="Q129" s="195"/>
      <c r="R129" s="139"/>
      <c r="S129" s="137"/>
      <c r="T129" s="247"/>
    </row>
    <row r="130" spans="1:20" x14ac:dyDescent="0.2">
      <c r="A130" t="s">
        <v>691</v>
      </c>
      <c r="C130" s="139" t="s">
        <v>334</v>
      </c>
      <c r="D130">
        <v>0.10814</v>
      </c>
      <c r="E130">
        <v>0.31158999999999998</v>
      </c>
      <c r="F130">
        <v>0.26835999999999999</v>
      </c>
      <c r="G130" s="247">
        <f t="shared" si="5"/>
        <v>260.44081908140907</v>
      </c>
      <c r="H130">
        <v>14453574363.188168</v>
      </c>
      <c r="I130">
        <v>8370464672.183321</v>
      </c>
      <c r="J130">
        <v>8370464672.183321</v>
      </c>
      <c r="K130" s="195">
        <f t="shared" si="6"/>
        <v>15630095.316351686</v>
      </c>
      <c r="L130" s="195">
        <f t="shared" si="7"/>
        <v>26081530.872056007</v>
      </c>
      <c r="M130" s="195">
        <f t="shared" si="8"/>
        <v>22462978.994271159</v>
      </c>
      <c r="N130" s="195">
        <f t="shared" si="9"/>
        <v>48544509.866327167</v>
      </c>
      <c r="O130" s="243">
        <v>60014</v>
      </c>
      <c r="Q130" s="195"/>
      <c r="R130" s="139"/>
      <c r="S130" s="137"/>
      <c r="T130" s="247"/>
    </row>
    <row r="131" spans="1:20" x14ac:dyDescent="0.2">
      <c r="A131" t="s">
        <v>690</v>
      </c>
      <c r="C131" s="139" t="s">
        <v>462</v>
      </c>
      <c r="D131">
        <v>0.1133</v>
      </c>
      <c r="E131">
        <v>0.19980000000000001</v>
      </c>
      <c r="F131">
        <v>0.17829999999999999</v>
      </c>
      <c r="G131" s="247">
        <f t="shared" ref="G131:G194" si="10">K131/O131</f>
        <v>247.78338794244559</v>
      </c>
      <c r="H131">
        <v>2901668129.9385424</v>
      </c>
      <c r="I131">
        <v>697936726.2723521</v>
      </c>
      <c r="J131">
        <v>697936726.2723521</v>
      </c>
      <c r="K131" s="195">
        <f t="shared" ref="K131:K194" si="11">D131*H131/100</f>
        <v>3287589.9912203681</v>
      </c>
      <c r="L131" s="195">
        <f t="shared" ref="L131:L194" si="12">E131*J131/100</f>
        <v>1394477.5790921596</v>
      </c>
      <c r="M131" s="195">
        <f t="shared" ref="M131:M194" si="13">F131*I131/100</f>
        <v>1244421.1829436037</v>
      </c>
      <c r="N131" s="195">
        <f t="shared" ref="N131:N194" si="14">SUM(L131:M131)</f>
        <v>2638898.7620357634</v>
      </c>
      <c r="O131" s="243">
        <v>13268</v>
      </c>
      <c r="Q131" s="195"/>
      <c r="R131" s="139"/>
      <c r="S131" s="137"/>
      <c r="T131" s="247"/>
    </row>
    <row r="132" spans="1:20" x14ac:dyDescent="0.2">
      <c r="A132" t="s">
        <v>695</v>
      </c>
      <c r="C132" s="139" t="s">
        <v>224</v>
      </c>
      <c r="D132">
        <v>0.12039999999999999</v>
      </c>
      <c r="E132">
        <v>0.31879999999999997</v>
      </c>
      <c r="F132">
        <v>0.25819999999999999</v>
      </c>
      <c r="G132" s="247">
        <f t="shared" si="10"/>
        <v>206.6769412688528</v>
      </c>
      <c r="H132">
        <v>4347940403.1551275</v>
      </c>
      <c r="I132">
        <v>1191228396.208883</v>
      </c>
      <c r="J132">
        <v>1191228396.208883</v>
      </c>
      <c r="K132" s="195">
        <f t="shared" si="11"/>
        <v>5234920.2453987729</v>
      </c>
      <c r="L132" s="195">
        <f t="shared" si="12"/>
        <v>3797636.1271139188</v>
      </c>
      <c r="M132" s="195">
        <f t="shared" si="13"/>
        <v>3075751.7190113361</v>
      </c>
      <c r="N132" s="195">
        <f t="shared" si="14"/>
        <v>6873387.8461252544</v>
      </c>
      <c r="O132" s="243">
        <v>25329</v>
      </c>
      <c r="Q132" s="195"/>
      <c r="R132" s="139"/>
      <c r="S132" s="137"/>
      <c r="T132" s="247"/>
    </row>
    <row r="133" spans="1:20" x14ac:dyDescent="0.2">
      <c r="A133" t="s">
        <v>692</v>
      </c>
      <c r="C133" s="139" t="s">
        <v>260</v>
      </c>
      <c r="D133">
        <v>0.13220000000000001</v>
      </c>
      <c r="E133">
        <v>0.2445</v>
      </c>
      <c r="F133">
        <v>0.19625999999999999</v>
      </c>
      <c r="G133" s="247">
        <f t="shared" si="10"/>
        <v>277.9804720162158</v>
      </c>
      <c r="H133">
        <v>4142792178.2628469</v>
      </c>
      <c r="I133">
        <v>816378788.58419859</v>
      </c>
      <c r="J133">
        <v>816378788.58419859</v>
      </c>
      <c r="K133" s="195">
        <f t="shared" si="11"/>
        <v>5476771.2596634841</v>
      </c>
      <c r="L133" s="195">
        <f t="shared" si="12"/>
        <v>1996046.1380883656</v>
      </c>
      <c r="M133" s="195">
        <f t="shared" si="13"/>
        <v>1602225.010475348</v>
      </c>
      <c r="N133" s="195">
        <f t="shared" si="14"/>
        <v>3598271.1485637138</v>
      </c>
      <c r="O133" s="243">
        <v>19702</v>
      </c>
      <c r="Q133" s="195"/>
      <c r="R133" s="139"/>
      <c r="S133" s="137"/>
      <c r="T133" s="247"/>
    </row>
    <row r="134" spans="1:20" x14ac:dyDescent="0.2">
      <c r="A134" s="115" t="s">
        <v>694</v>
      </c>
      <c r="B134" s="115"/>
      <c r="C134" s="139" t="s">
        <v>379</v>
      </c>
      <c r="D134">
        <v>0.1346</v>
      </c>
      <c r="E134">
        <v>0.2135</v>
      </c>
      <c r="F134">
        <v>0.15770000000000001</v>
      </c>
      <c r="G134" s="247">
        <f t="shared" si="10"/>
        <v>283.50616176325428</v>
      </c>
      <c r="H134">
        <v>1507679870.65481</v>
      </c>
      <c r="I134">
        <v>392394366.19718313</v>
      </c>
      <c r="J134">
        <v>392394366.19718313</v>
      </c>
      <c r="K134" s="195">
        <f t="shared" si="11"/>
        <v>2029337.1059013742</v>
      </c>
      <c r="L134" s="195">
        <f t="shared" si="12"/>
        <v>837761.97183098597</v>
      </c>
      <c r="M134" s="195">
        <f t="shared" si="13"/>
        <v>618805.91549295781</v>
      </c>
      <c r="N134" s="195">
        <f t="shared" si="14"/>
        <v>1456567.8873239439</v>
      </c>
      <c r="O134" s="243">
        <v>7158</v>
      </c>
      <c r="Q134" s="195"/>
      <c r="R134" s="139"/>
      <c r="S134" s="137"/>
      <c r="T134" s="247"/>
    </row>
    <row r="135" spans="1:20" x14ac:dyDescent="0.2">
      <c r="A135" t="s">
        <v>698</v>
      </c>
      <c r="C135" s="139" t="s">
        <v>182</v>
      </c>
      <c r="D135">
        <v>0.14480000000000001</v>
      </c>
      <c r="E135">
        <v>0.2334</v>
      </c>
      <c r="F135">
        <v>0.187</v>
      </c>
      <c r="G135" s="247">
        <f t="shared" si="10"/>
        <v>341.61006569424342</v>
      </c>
      <c r="H135">
        <v>2118784530.38674</v>
      </c>
      <c r="I135">
        <v>317904374.36419123</v>
      </c>
      <c r="J135">
        <v>317904374.36419123</v>
      </c>
      <c r="K135" s="195">
        <f t="shared" si="11"/>
        <v>3068000</v>
      </c>
      <c r="L135" s="195">
        <f t="shared" si="12"/>
        <v>741988.80976602226</v>
      </c>
      <c r="M135" s="195">
        <f t="shared" si="13"/>
        <v>594481.18006103765</v>
      </c>
      <c r="N135" s="195">
        <f t="shared" si="14"/>
        <v>1336469.9898270599</v>
      </c>
      <c r="O135" s="243">
        <v>8981</v>
      </c>
      <c r="Q135" s="195"/>
      <c r="R135" s="139"/>
      <c r="S135" s="137"/>
      <c r="T135" s="247"/>
    </row>
    <row r="136" spans="1:20" x14ac:dyDescent="0.2">
      <c r="A136" s="115" t="s">
        <v>693</v>
      </c>
      <c r="B136" s="115"/>
      <c r="C136" s="139" t="s">
        <v>203</v>
      </c>
      <c r="D136">
        <v>0.13220000000000001</v>
      </c>
      <c r="E136">
        <v>0.27439999999999998</v>
      </c>
      <c r="F136">
        <v>0.21540000000000001</v>
      </c>
      <c r="G136" s="247">
        <f t="shared" si="10"/>
        <v>180.23713485190501</v>
      </c>
      <c r="H136">
        <v>1038613081.1662726</v>
      </c>
      <c r="I136">
        <v>444058222.89810991</v>
      </c>
      <c r="J136">
        <v>444058222.89810991</v>
      </c>
      <c r="K136" s="195">
        <f t="shared" si="11"/>
        <v>1373046.4933018123</v>
      </c>
      <c r="L136" s="195">
        <f t="shared" si="12"/>
        <v>1218495.7636324135</v>
      </c>
      <c r="M136" s="195">
        <f t="shared" si="13"/>
        <v>956501.41212252888</v>
      </c>
      <c r="N136" s="195">
        <f t="shared" si="14"/>
        <v>2174997.1757549425</v>
      </c>
      <c r="O136" s="243">
        <v>7618</v>
      </c>
      <c r="Q136" s="195"/>
      <c r="R136" s="139"/>
      <c r="S136" s="137"/>
      <c r="T136" s="247"/>
    </row>
    <row r="137" spans="1:20" x14ac:dyDescent="0.2">
      <c r="A137" t="s">
        <v>695</v>
      </c>
      <c r="C137" s="139" t="s">
        <v>261</v>
      </c>
      <c r="D137">
        <v>0.1479</v>
      </c>
      <c r="E137">
        <v>0.23499999999999999</v>
      </c>
      <c r="F137">
        <v>0.1822</v>
      </c>
      <c r="G137" s="247">
        <f t="shared" si="10"/>
        <v>329.09286152267498</v>
      </c>
      <c r="H137">
        <v>1196215837.4211633</v>
      </c>
      <c r="I137">
        <v>162887168.14159289</v>
      </c>
      <c r="J137">
        <v>162887168.14159289</v>
      </c>
      <c r="K137" s="195">
        <f t="shared" si="11"/>
        <v>1769203.2235459005</v>
      </c>
      <c r="L137" s="195">
        <f t="shared" si="12"/>
        <v>382784.84513274324</v>
      </c>
      <c r="M137" s="195">
        <f t="shared" si="13"/>
        <v>296780.42035398225</v>
      </c>
      <c r="N137" s="195">
        <f t="shared" si="14"/>
        <v>679565.26548672549</v>
      </c>
      <c r="O137" s="243">
        <v>5376</v>
      </c>
      <c r="Q137" s="195"/>
      <c r="R137" s="139"/>
      <c r="S137" s="137"/>
      <c r="T137" s="247"/>
    </row>
    <row r="138" spans="1:20" x14ac:dyDescent="0.2">
      <c r="A138" t="s">
        <v>691</v>
      </c>
      <c r="C138" s="139" t="s">
        <v>335</v>
      </c>
      <c r="D138">
        <v>0.11650000000000001</v>
      </c>
      <c r="E138">
        <v>0.1595</v>
      </c>
      <c r="F138">
        <v>0.127</v>
      </c>
      <c r="G138" s="247">
        <f t="shared" si="10"/>
        <v>227.28879767107529</v>
      </c>
      <c r="H138">
        <v>3426890756.3025212</v>
      </c>
      <c r="I138">
        <v>452491694.35215938</v>
      </c>
      <c r="J138">
        <v>452491694.35215938</v>
      </c>
      <c r="K138" s="195">
        <f t="shared" si="11"/>
        <v>3992327.7310924376</v>
      </c>
      <c r="L138" s="195">
        <f t="shared" si="12"/>
        <v>721724.25249169429</v>
      </c>
      <c r="M138" s="195">
        <f t="shared" si="13"/>
        <v>574664.4518272425</v>
      </c>
      <c r="N138" s="195">
        <f t="shared" si="14"/>
        <v>1296388.7043189369</v>
      </c>
      <c r="O138" s="243">
        <v>17565</v>
      </c>
      <c r="Q138" s="195"/>
      <c r="R138" s="139"/>
      <c r="S138" s="137"/>
      <c r="T138" s="247"/>
    </row>
    <row r="139" spans="1:20" x14ac:dyDescent="0.2">
      <c r="A139" t="s">
        <v>691</v>
      </c>
      <c r="C139" s="139" t="s">
        <v>336</v>
      </c>
      <c r="D139">
        <v>0.10390000000000001</v>
      </c>
      <c r="E139">
        <v>0.1993</v>
      </c>
      <c r="F139">
        <v>0.15970000000000001</v>
      </c>
      <c r="G139" s="247">
        <f t="shared" si="10"/>
        <v>337.19180436710684</v>
      </c>
      <c r="H139">
        <v>4166055045.8715596</v>
      </c>
      <c r="I139">
        <v>411366313.30977619</v>
      </c>
      <c r="J139">
        <v>411366313.30977619</v>
      </c>
      <c r="K139" s="195">
        <f t="shared" si="11"/>
        <v>4328531.1926605506</v>
      </c>
      <c r="L139" s="195">
        <f t="shared" si="12"/>
        <v>819853.06242638396</v>
      </c>
      <c r="M139" s="195">
        <f t="shared" si="13"/>
        <v>656952.00235571258</v>
      </c>
      <c r="N139" s="195">
        <f t="shared" si="14"/>
        <v>1476805.0647820965</v>
      </c>
      <c r="O139" s="243">
        <v>12837</v>
      </c>
      <c r="Q139" s="195"/>
      <c r="R139" s="139"/>
      <c r="S139" s="137"/>
      <c r="T139" s="247"/>
    </row>
    <row r="140" spans="1:20" x14ac:dyDescent="0.2">
      <c r="A140" t="s">
        <v>692</v>
      </c>
      <c r="C140" s="139" t="s">
        <v>262</v>
      </c>
      <c r="D140">
        <v>0.15920000000000001</v>
      </c>
      <c r="E140">
        <v>0.2487</v>
      </c>
      <c r="F140">
        <v>0.2009</v>
      </c>
      <c r="G140" s="247">
        <f t="shared" si="10"/>
        <v>357.94067975883388</v>
      </c>
      <c r="H140">
        <v>1791277258.5669782</v>
      </c>
      <c r="I140">
        <v>228357191.54737559</v>
      </c>
      <c r="J140">
        <v>228357191.54737559</v>
      </c>
      <c r="K140" s="195">
        <f t="shared" si="11"/>
        <v>2851713.3956386293</v>
      </c>
      <c r="L140" s="195">
        <f t="shared" si="12"/>
        <v>567924.3353783231</v>
      </c>
      <c r="M140" s="195">
        <f t="shared" si="13"/>
        <v>458769.59781867755</v>
      </c>
      <c r="N140" s="195">
        <f t="shared" si="14"/>
        <v>1026693.9331970006</v>
      </c>
      <c r="O140" s="243">
        <v>7967</v>
      </c>
      <c r="Q140" s="195"/>
      <c r="R140" s="139"/>
      <c r="S140" s="137"/>
      <c r="T140" s="247"/>
    </row>
    <row r="141" spans="1:20" x14ac:dyDescent="0.2">
      <c r="A141" t="s">
        <v>693</v>
      </c>
      <c r="C141" s="139" t="s">
        <v>204</v>
      </c>
      <c r="D141">
        <v>0.1744</v>
      </c>
      <c r="E141">
        <v>0.36299999999999999</v>
      </c>
      <c r="F141">
        <v>0.2918</v>
      </c>
      <c r="G141" s="247">
        <f t="shared" si="10"/>
        <v>290.50971933560612</v>
      </c>
      <c r="H141">
        <v>3916384180.7909608</v>
      </c>
      <c r="I141">
        <v>1208068614.9936466</v>
      </c>
      <c r="J141">
        <v>1208068614.9936466</v>
      </c>
      <c r="K141" s="195">
        <f t="shared" si="11"/>
        <v>6830174.011299436</v>
      </c>
      <c r="L141" s="195">
        <f t="shared" si="12"/>
        <v>4385289.0724269375</v>
      </c>
      <c r="M141" s="195">
        <f t="shared" si="13"/>
        <v>3525144.2185514611</v>
      </c>
      <c r="N141" s="195">
        <f t="shared" si="14"/>
        <v>7910433.2909783982</v>
      </c>
      <c r="O141" s="243">
        <v>23511</v>
      </c>
      <c r="Q141" s="195"/>
      <c r="R141" s="139"/>
      <c r="S141" s="137"/>
      <c r="T141" s="247"/>
    </row>
    <row r="142" spans="1:20" x14ac:dyDescent="0.2">
      <c r="A142" t="s">
        <v>691</v>
      </c>
      <c r="C142" s="139" t="s">
        <v>337</v>
      </c>
      <c r="D142">
        <v>0.12374</v>
      </c>
      <c r="E142">
        <v>0.27028000000000002</v>
      </c>
      <c r="F142">
        <v>0.23673</v>
      </c>
      <c r="G142" s="247">
        <f t="shared" si="10"/>
        <v>225.22603312921154</v>
      </c>
      <c r="H142">
        <v>4090253286.3097148</v>
      </c>
      <c r="I142">
        <v>1129253967.5927854</v>
      </c>
      <c r="J142">
        <v>1129253967.5927854</v>
      </c>
      <c r="K142" s="195">
        <f t="shared" si="11"/>
        <v>5061279.4164796416</v>
      </c>
      <c r="L142" s="195">
        <f t="shared" si="12"/>
        <v>3052147.6236097808</v>
      </c>
      <c r="M142" s="195">
        <f t="shared" si="13"/>
        <v>2673282.9174824008</v>
      </c>
      <c r="N142" s="195">
        <f t="shared" si="14"/>
        <v>5725430.5410921816</v>
      </c>
      <c r="O142" s="243">
        <v>22472</v>
      </c>
      <c r="Q142" s="195"/>
      <c r="R142" s="139"/>
      <c r="S142" s="137"/>
      <c r="T142" s="247"/>
    </row>
    <row r="143" spans="1:20" x14ac:dyDescent="0.2">
      <c r="A143" t="s">
        <v>699</v>
      </c>
      <c r="C143" s="139" t="s">
        <v>504</v>
      </c>
      <c r="D143">
        <v>0.196546</v>
      </c>
      <c r="E143">
        <v>0.26259399999999999</v>
      </c>
      <c r="F143">
        <v>0.195377</v>
      </c>
      <c r="G143" s="247">
        <f t="shared" si="10"/>
        <v>239.60592850711058</v>
      </c>
      <c r="H143">
        <v>5576452325.5119705</v>
      </c>
      <c r="I143">
        <v>2372965846.2498894</v>
      </c>
      <c r="J143">
        <v>2372965846.2498894</v>
      </c>
      <c r="K143" s="195">
        <f t="shared" si="11"/>
        <v>10960293.987700759</v>
      </c>
      <c r="L143" s="195">
        <f t="shared" si="12"/>
        <v>6231265.934301435</v>
      </c>
      <c r="M143" s="195">
        <f t="shared" si="13"/>
        <v>4636229.4814276462</v>
      </c>
      <c r="N143" s="195">
        <f t="shared" si="14"/>
        <v>10867495.415729081</v>
      </c>
      <c r="O143" s="243">
        <v>45743</v>
      </c>
      <c r="Q143" s="195"/>
      <c r="R143" s="139"/>
      <c r="S143" s="137"/>
      <c r="T143" s="247"/>
    </row>
    <row r="144" spans="1:20" x14ac:dyDescent="0.2">
      <c r="A144" t="s">
        <v>690</v>
      </c>
      <c r="C144" s="139" t="s">
        <v>463</v>
      </c>
      <c r="D144">
        <v>0.1193</v>
      </c>
      <c r="E144">
        <v>0.1678</v>
      </c>
      <c r="F144">
        <v>0.13900000000000001</v>
      </c>
      <c r="G144" s="247">
        <f t="shared" si="10"/>
        <v>330.8528906697195</v>
      </c>
      <c r="H144">
        <v>1937971500.4191115</v>
      </c>
      <c r="I144">
        <v>416888297.87234038</v>
      </c>
      <c r="J144">
        <v>416888297.87234038</v>
      </c>
      <c r="K144" s="195">
        <f t="shared" si="11"/>
        <v>2312000</v>
      </c>
      <c r="L144" s="195">
        <f t="shared" si="12"/>
        <v>699538.56382978719</v>
      </c>
      <c r="M144" s="195">
        <f t="shared" si="13"/>
        <v>579474.73404255311</v>
      </c>
      <c r="N144" s="195">
        <f t="shared" si="14"/>
        <v>1279013.2978723403</v>
      </c>
      <c r="O144" s="243">
        <v>6988</v>
      </c>
      <c r="Q144" s="195"/>
      <c r="R144" s="139"/>
      <c r="S144" s="137"/>
      <c r="T144" s="247"/>
    </row>
    <row r="145" spans="1:20" x14ac:dyDescent="0.2">
      <c r="A145" t="s">
        <v>691</v>
      </c>
      <c r="C145" s="139" t="s">
        <v>338</v>
      </c>
      <c r="D145">
        <v>9.35E-2</v>
      </c>
      <c r="E145">
        <v>0.14030000000000001</v>
      </c>
      <c r="F145">
        <v>0.11219999999999999</v>
      </c>
      <c r="G145" s="247">
        <f t="shared" si="10"/>
        <v>249.08054831092889</v>
      </c>
      <c r="H145">
        <v>2780911062.906724</v>
      </c>
      <c r="I145">
        <v>343121480.28962189</v>
      </c>
      <c r="J145">
        <v>343121480.28962189</v>
      </c>
      <c r="K145" s="195">
        <f t="shared" si="11"/>
        <v>2600151.8438177868</v>
      </c>
      <c r="L145" s="195">
        <f t="shared" si="12"/>
        <v>481399.43684633955</v>
      </c>
      <c r="M145" s="195">
        <f t="shared" si="13"/>
        <v>384982.30088495574</v>
      </c>
      <c r="N145" s="195">
        <f t="shared" si="14"/>
        <v>866381.73773129529</v>
      </c>
      <c r="O145" s="243">
        <v>10439</v>
      </c>
      <c r="Q145" s="195"/>
      <c r="R145" s="139"/>
      <c r="S145" s="137"/>
      <c r="T145" s="247"/>
    </row>
    <row r="146" spans="1:20" x14ac:dyDescent="0.2">
      <c r="A146" t="s">
        <v>695</v>
      </c>
      <c r="C146" s="139" t="s">
        <v>225</v>
      </c>
      <c r="D146">
        <v>0.14549999999999999</v>
      </c>
      <c r="E146">
        <v>0.2636</v>
      </c>
      <c r="F146">
        <v>0.21249999999999999</v>
      </c>
      <c r="G146" s="247">
        <f t="shared" si="10"/>
        <v>304.23939149977571</v>
      </c>
      <c r="H146">
        <v>3177053824.3626065</v>
      </c>
      <c r="I146">
        <v>669407183.03764594</v>
      </c>
      <c r="J146">
        <v>669407183.03764594</v>
      </c>
      <c r="K146" s="195">
        <f t="shared" si="11"/>
        <v>4622613.314447592</v>
      </c>
      <c r="L146" s="195">
        <f t="shared" si="12"/>
        <v>1764557.3344872347</v>
      </c>
      <c r="M146" s="195">
        <f t="shared" si="13"/>
        <v>1422490.2639549978</v>
      </c>
      <c r="N146" s="195">
        <f t="shared" si="14"/>
        <v>3187047.5984422322</v>
      </c>
      <c r="O146" s="243">
        <v>15194</v>
      </c>
      <c r="Q146" s="195"/>
      <c r="R146" s="139"/>
      <c r="S146" s="137"/>
      <c r="T146" s="247"/>
    </row>
    <row r="147" spans="1:20" x14ac:dyDescent="0.2">
      <c r="A147" t="s">
        <v>694</v>
      </c>
      <c r="C147" s="139" t="s">
        <v>380</v>
      </c>
      <c r="D147">
        <v>0.1002</v>
      </c>
      <c r="E147">
        <v>0.20880000000000001</v>
      </c>
      <c r="F147">
        <v>0.13769999999999999</v>
      </c>
      <c r="G147" s="247">
        <f t="shared" si="10"/>
        <v>185.09099498296487</v>
      </c>
      <c r="H147">
        <v>3305776892.4302788</v>
      </c>
      <c r="I147">
        <v>456671251.7193948</v>
      </c>
      <c r="J147">
        <v>456671251.7193948</v>
      </c>
      <c r="K147" s="195">
        <f t="shared" si="11"/>
        <v>3312388.4462151392</v>
      </c>
      <c r="L147" s="195">
        <f t="shared" si="12"/>
        <v>953529.57359009644</v>
      </c>
      <c r="M147" s="195">
        <f t="shared" si="13"/>
        <v>628836.31361760665</v>
      </c>
      <c r="N147" s="195">
        <f t="shared" si="14"/>
        <v>1582365.8872077032</v>
      </c>
      <c r="O147" s="243">
        <v>17896</v>
      </c>
      <c r="Q147" s="195"/>
      <c r="R147" s="139"/>
      <c r="S147" s="137"/>
      <c r="T147" s="247"/>
    </row>
    <row r="148" spans="1:20" x14ac:dyDescent="0.2">
      <c r="A148" t="s">
        <v>690</v>
      </c>
      <c r="C148" s="139" t="s">
        <v>464</v>
      </c>
      <c r="D148">
        <v>0.1492</v>
      </c>
      <c r="E148">
        <v>0.2208</v>
      </c>
      <c r="F148">
        <v>0.17660000000000001</v>
      </c>
      <c r="G148" s="247">
        <f t="shared" si="10"/>
        <v>297.52415180057966</v>
      </c>
      <c r="H148">
        <v>7889574759.9451303</v>
      </c>
      <c r="I148">
        <v>1941822721.5980027</v>
      </c>
      <c r="J148">
        <v>1941822721.5980027</v>
      </c>
      <c r="K148" s="195">
        <f t="shared" si="11"/>
        <v>11771245.541838134</v>
      </c>
      <c r="L148" s="195">
        <f t="shared" si="12"/>
        <v>4287544.5692883898</v>
      </c>
      <c r="M148" s="195">
        <f t="shared" si="13"/>
        <v>3429258.9263420729</v>
      </c>
      <c r="N148" s="195">
        <f t="shared" si="14"/>
        <v>7716803.4956304627</v>
      </c>
      <c r="O148" s="243">
        <v>39564</v>
      </c>
      <c r="Q148" s="195"/>
      <c r="R148" s="139"/>
      <c r="S148" s="137"/>
      <c r="T148" s="247"/>
    </row>
    <row r="149" spans="1:20" x14ac:dyDescent="0.2">
      <c r="A149" t="s">
        <v>694</v>
      </c>
      <c r="C149" s="139" t="s">
        <v>381</v>
      </c>
      <c r="D149">
        <v>0.14380000000000001</v>
      </c>
      <c r="E149">
        <v>0.27729999999999999</v>
      </c>
      <c r="F149">
        <v>0.22270000000000001</v>
      </c>
      <c r="G149" s="247">
        <f t="shared" si="10"/>
        <v>294.93887978247938</v>
      </c>
      <c r="H149">
        <v>2414683888.5112166</v>
      </c>
      <c r="I149">
        <v>326319890.90200663</v>
      </c>
      <c r="J149">
        <v>326319890.90200663</v>
      </c>
      <c r="K149" s="195">
        <f t="shared" si="11"/>
        <v>3472315.4316791296</v>
      </c>
      <c r="L149" s="195">
        <f t="shared" si="12"/>
        <v>904885.05747126427</v>
      </c>
      <c r="M149" s="195">
        <f t="shared" si="13"/>
        <v>726714.39703876886</v>
      </c>
      <c r="N149" s="195">
        <f t="shared" si="14"/>
        <v>1631599.4545100331</v>
      </c>
      <c r="O149" s="243">
        <v>11773</v>
      </c>
      <c r="Q149" s="195"/>
      <c r="R149" s="139"/>
      <c r="S149" s="137"/>
      <c r="T149" s="247"/>
    </row>
    <row r="150" spans="1:20" x14ac:dyDescent="0.2">
      <c r="A150" t="s">
        <v>695</v>
      </c>
      <c r="C150" s="139" t="s">
        <v>547</v>
      </c>
      <c r="D150">
        <v>0.15640000000000001</v>
      </c>
      <c r="E150">
        <v>0.35510000000000003</v>
      </c>
      <c r="F150">
        <v>0.2843</v>
      </c>
      <c r="G150" s="247">
        <f t="shared" si="10"/>
        <v>245.22549616770723</v>
      </c>
      <c r="H150">
        <v>5990777338.603426</v>
      </c>
      <c r="I150">
        <v>2037397283.2466879</v>
      </c>
      <c r="J150">
        <v>2037397283.2466879</v>
      </c>
      <c r="K150" s="195">
        <f t="shared" si="11"/>
        <v>9369575.7575757578</v>
      </c>
      <c r="L150" s="195">
        <f t="shared" si="12"/>
        <v>7234797.752808989</v>
      </c>
      <c r="M150" s="195">
        <f t="shared" si="13"/>
        <v>5792320.4762703339</v>
      </c>
      <c r="N150" s="195">
        <f t="shared" si="14"/>
        <v>13027118.229079323</v>
      </c>
      <c r="O150" s="243">
        <v>38208</v>
      </c>
      <c r="Q150" s="195"/>
      <c r="R150" s="139"/>
      <c r="S150" s="137"/>
      <c r="T150" s="247"/>
    </row>
    <row r="151" spans="1:20" x14ac:dyDescent="0.2">
      <c r="A151" t="s">
        <v>693</v>
      </c>
      <c r="C151" s="139" t="s">
        <v>540</v>
      </c>
      <c r="D151">
        <v>0.20399999999999999</v>
      </c>
      <c r="E151">
        <v>0.20899999999999999</v>
      </c>
      <c r="F151">
        <v>0.15679999999999999</v>
      </c>
      <c r="G151" s="247">
        <f t="shared" si="10"/>
        <v>272.30752738033794</v>
      </c>
      <c r="H151">
        <v>628976994.61576104</v>
      </c>
      <c r="I151">
        <v>183923343.09289324</v>
      </c>
      <c r="J151">
        <v>183923343.09289324</v>
      </c>
      <c r="K151" s="195">
        <f t="shared" si="11"/>
        <v>1283113.0690161525</v>
      </c>
      <c r="L151" s="195">
        <f t="shared" si="12"/>
        <v>384399.78706414683</v>
      </c>
      <c r="M151" s="195">
        <f t="shared" si="13"/>
        <v>288391.8019696566</v>
      </c>
      <c r="N151" s="195">
        <f t="shared" si="14"/>
        <v>672791.58903380344</v>
      </c>
      <c r="O151" s="243">
        <v>4712</v>
      </c>
      <c r="Q151" s="195"/>
      <c r="R151" s="139"/>
      <c r="S151" s="137"/>
      <c r="T151" s="247"/>
    </row>
    <row r="152" spans="1:20" x14ac:dyDescent="0.2">
      <c r="A152" t="s">
        <v>692</v>
      </c>
      <c r="C152" s="139" t="s">
        <v>263</v>
      </c>
      <c r="D152">
        <v>0.18614</v>
      </c>
      <c r="E152">
        <v>0.28643000000000002</v>
      </c>
      <c r="F152">
        <v>0.22363</v>
      </c>
      <c r="G152" s="247">
        <f t="shared" si="10"/>
        <v>468.34799895573582</v>
      </c>
      <c r="H152">
        <v>1799770729.8433323</v>
      </c>
      <c r="I152">
        <v>286237145.18727744</v>
      </c>
      <c r="J152">
        <v>286237145.18727744</v>
      </c>
      <c r="K152" s="195">
        <f t="shared" si="11"/>
        <v>3350093.2365303785</v>
      </c>
      <c r="L152" s="195">
        <f t="shared" si="12"/>
        <v>819869.05495991884</v>
      </c>
      <c r="M152" s="195">
        <f t="shared" si="13"/>
        <v>640112.1277823085</v>
      </c>
      <c r="N152" s="195">
        <f t="shared" si="14"/>
        <v>1459981.1827422273</v>
      </c>
      <c r="O152" s="243">
        <v>7153</v>
      </c>
      <c r="Q152" s="195"/>
      <c r="R152" s="139"/>
      <c r="S152" s="137"/>
      <c r="T152" s="247"/>
    </row>
    <row r="153" spans="1:20" x14ac:dyDescent="0.2">
      <c r="A153" t="s">
        <v>690</v>
      </c>
      <c r="C153" s="139" t="s">
        <v>465</v>
      </c>
      <c r="D153">
        <v>0.1091191</v>
      </c>
      <c r="E153">
        <v>0.2326271</v>
      </c>
      <c r="F153">
        <v>0.15646119999999999</v>
      </c>
      <c r="G153" s="247">
        <f t="shared" si="10"/>
        <v>269.98773825058026</v>
      </c>
      <c r="H153">
        <v>4540740321.6986294</v>
      </c>
      <c r="I153">
        <v>800315291.64477134</v>
      </c>
      <c r="J153">
        <v>800315291.64477134</v>
      </c>
      <c r="K153" s="195">
        <f t="shared" si="11"/>
        <v>4954814.9723746488</v>
      </c>
      <c r="L153" s="195">
        <f t="shared" si="12"/>
        <v>1861750.2538097738</v>
      </c>
      <c r="M153" s="195">
        <f t="shared" si="13"/>
        <v>1252182.9090909089</v>
      </c>
      <c r="N153" s="195">
        <f t="shared" si="14"/>
        <v>3113933.1629006825</v>
      </c>
      <c r="O153" s="243">
        <v>18352</v>
      </c>
      <c r="Q153" s="195"/>
      <c r="R153" s="139"/>
      <c r="S153" s="137"/>
      <c r="T153" s="247"/>
    </row>
    <row r="154" spans="1:20" x14ac:dyDescent="0.2">
      <c r="A154" t="s">
        <v>694</v>
      </c>
      <c r="C154" s="139" t="s">
        <v>382</v>
      </c>
      <c r="D154">
        <v>0.1037</v>
      </c>
      <c r="E154">
        <v>0.183</v>
      </c>
      <c r="F154">
        <v>0.1394</v>
      </c>
      <c r="G154" s="247">
        <f t="shared" si="10"/>
        <v>232.80205270977308</v>
      </c>
      <c r="H154">
        <v>2145281018.0275717</v>
      </c>
      <c r="I154">
        <v>417448731.31734443</v>
      </c>
      <c r="J154">
        <v>417448731.31734443</v>
      </c>
      <c r="K154" s="195">
        <f t="shared" si="11"/>
        <v>2224656.4156945916</v>
      </c>
      <c r="L154" s="195">
        <f t="shared" si="12"/>
        <v>763931.17831074027</v>
      </c>
      <c r="M154" s="195">
        <f t="shared" si="13"/>
        <v>581923.53145637806</v>
      </c>
      <c r="N154" s="195">
        <f t="shared" si="14"/>
        <v>1345854.7097671183</v>
      </c>
      <c r="O154" s="243">
        <v>9556</v>
      </c>
      <c r="Q154" s="195"/>
      <c r="R154" s="139"/>
      <c r="S154" s="115"/>
      <c r="T154" s="247"/>
    </row>
    <row r="155" spans="1:20" x14ac:dyDescent="0.2">
      <c r="A155" t="s">
        <v>690</v>
      </c>
      <c r="C155" s="139" t="s">
        <v>466</v>
      </c>
      <c r="D155">
        <v>0.1061</v>
      </c>
      <c r="E155">
        <v>0.13539999999999999</v>
      </c>
      <c r="F155">
        <v>0.11310000000000001</v>
      </c>
      <c r="G155" s="247">
        <f t="shared" si="10"/>
        <v>264.33486881656751</v>
      </c>
      <c r="H155">
        <v>1702107279.6934865</v>
      </c>
      <c r="I155">
        <v>437552388.93545681</v>
      </c>
      <c r="J155">
        <v>437552388.93545681</v>
      </c>
      <c r="K155" s="195">
        <f t="shared" si="11"/>
        <v>1805935.8237547893</v>
      </c>
      <c r="L155" s="195">
        <f t="shared" si="12"/>
        <v>592445.93461860856</v>
      </c>
      <c r="M155" s="195">
        <f t="shared" si="13"/>
        <v>494871.75188600167</v>
      </c>
      <c r="N155" s="195">
        <f t="shared" si="14"/>
        <v>1087317.6865046103</v>
      </c>
      <c r="O155" s="243">
        <v>6832</v>
      </c>
      <c r="Q155" s="195"/>
      <c r="R155" s="139"/>
      <c r="S155" s="137"/>
      <c r="T155" s="247"/>
    </row>
    <row r="156" spans="1:20" x14ac:dyDescent="0.2">
      <c r="A156" t="s">
        <v>691</v>
      </c>
      <c r="C156" s="139" t="s">
        <v>339</v>
      </c>
      <c r="D156">
        <v>9.9599999999999994E-2</v>
      </c>
      <c r="E156">
        <v>0.21759999999999999</v>
      </c>
      <c r="F156">
        <v>0.1777</v>
      </c>
      <c r="G156" s="247">
        <f t="shared" si="10"/>
        <v>235.3473599843974</v>
      </c>
      <c r="H156">
        <v>9821499013.8067055</v>
      </c>
      <c r="I156">
        <v>2335166208.4478879</v>
      </c>
      <c r="J156">
        <v>2335166208.4478879</v>
      </c>
      <c r="K156" s="195">
        <f t="shared" si="11"/>
        <v>9782213.0177514777</v>
      </c>
      <c r="L156" s="195">
        <f t="shared" si="12"/>
        <v>5081321.6695826035</v>
      </c>
      <c r="M156" s="195">
        <f t="shared" si="13"/>
        <v>4149590.3524118965</v>
      </c>
      <c r="N156" s="195">
        <f t="shared" si="14"/>
        <v>9230912.0219944995</v>
      </c>
      <c r="O156" s="243">
        <v>41565</v>
      </c>
      <c r="Q156" s="195"/>
      <c r="R156" s="139"/>
      <c r="S156" s="137"/>
      <c r="T156" s="247"/>
    </row>
    <row r="157" spans="1:20" x14ac:dyDescent="0.2">
      <c r="A157" t="s">
        <v>695</v>
      </c>
      <c r="C157" s="139" t="s">
        <v>226</v>
      </c>
      <c r="D157">
        <v>0.1186</v>
      </c>
      <c r="E157">
        <v>0.19939999999999999</v>
      </c>
      <c r="F157">
        <v>0.17430000000000001</v>
      </c>
      <c r="G157" s="247">
        <f t="shared" si="10"/>
        <v>241.10688947634299</v>
      </c>
      <c r="H157">
        <v>3130323679.7274275</v>
      </c>
      <c r="I157">
        <v>810301855.44170594</v>
      </c>
      <c r="J157">
        <v>810301855.44170594</v>
      </c>
      <c r="K157" s="195">
        <f t="shared" si="11"/>
        <v>3712563.8841567291</v>
      </c>
      <c r="L157" s="195">
        <f t="shared" si="12"/>
        <v>1615741.8997507617</v>
      </c>
      <c r="M157" s="195">
        <f t="shared" si="13"/>
        <v>1412356.1340348935</v>
      </c>
      <c r="N157" s="195">
        <f t="shared" si="14"/>
        <v>3028098.0337856552</v>
      </c>
      <c r="O157" s="243">
        <v>15398</v>
      </c>
      <c r="Q157" s="195"/>
      <c r="R157" s="139"/>
      <c r="S157" s="137"/>
      <c r="T157" s="247"/>
    </row>
    <row r="158" spans="1:20" x14ac:dyDescent="0.2">
      <c r="A158" t="s">
        <v>691</v>
      </c>
      <c r="C158" s="139" t="s">
        <v>340</v>
      </c>
      <c r="D158">
        <v>0.12709999999999999</v>
      </c>
      <c r="E158">
        <v>0.17780000000000001</v>
      </c>
      <c r="F158">
        <v>0.14419999999999999</v>
      </c>
      <c r="G158" s="247">
        <f t="shared" si="10"/>
        <v>234.61826243423383</v>
      </c>
      <c r="H158">
        <v>3824037706.2058129</v>
      </c>
      <c r="I158">
        <v>1293329077.5614426</v>
      </c>
      <c r="J158">
        <v>1293329077.5614426</v>
      </c>
      <c r="K158" s="195">
        <f t="shared" si="11"/>
        <v>4860351.9245875878</v>
      </c>
      <c r="L158" s="195">
        <f t="shared" si="12"/>
        <v>2299539.0999042452</v>
      </c>
      <c r="M158" s="195">
        <f t="shared" si="13"/>
        <v>1864980.5298436</v>
      </c>
      <c r="N158" s="195">
        <f t="shared" si="14"/>
        <v>4164519.6297478452</v>
      </c>
      <c r="O158" s="243">
        <v>20716</v>
      </c>
      <c r="Q158" s="195"/>
      <c r="R158" s="139"/>
      <c r="S158" s="137"/>
      <c r="T158" s="247"/>
    </row>
    <row r="159" spans="1:20" x14ac:dyDescent="0.2">
      <c r="A159" t="s">
        <v>689</v>
      </c>
      <c r="C159" s="139" t="s">
        <v>166</v>
      </c>
      <c r="D159">
        <v>0.15890000000000001</v>
      </c>
      <c r="E159">
        <v>0.25009999999999999</v>
      </c>
      <c r="F159">
        <v>0.18440000000000001</v>
      </c>
      <c r="G159" s="247">
        <f t="shared" si="10"/>
        <v>241.39941661454256</v>
      </c>
      <c r="H159">
        <v>3776100628.9308176</v>
      </c>
      <c r="I159">
        <v>1050118203.3096926</v>
      </c>
      <c r="J159">
        <v>1050118203.3096926</v>
      </c>
      <c r="K159" s="195">
        <f t="shared" si="11"/>
        <v>6000223.8993710699</v>
      </c>
      <c r="L159" s="195">
        <f t="shared" si="12"/>
        <v>2626345.6264775409</v>
      </c>
      <c r="M159" s="195">
        <f t="shared" si="13"/>
        <v>1936417.9669030732</v>
      </c>
      <c r="N159" s="195">
        <f t="shared" si="14"/>
        <v>4562763.5933806142</v>
      </c>
      <c r="O159" s="243">
        <v>24856</v>
      </c>
      <c r="Q159" s="195"/>
      <c r="R159" s="139"/>
      <c r="S159" s="137"/>
      <c r="T159" s="247"/>
    </row>
    <row r="160" spans="1:20" x14ac:dyDescent="0.2">
      <c r="A160" t="s">
        <v>698</v>
      </c>
      <c r="C160" s="139" t="s">
        <v>183</v>
      </c>
      <c r="D160">
        <v>0.1782</v>
      </c>
      <c r="E160">
        <v>0.35980000000000001</v>
      </c>
      <c r="F160">
        <v>0.2888</v>
      </c>
      <c r="G160" s="247">
        <f t="shared" si="10"/>
        <v>242.24060997860221</v>
      </c>
      <c r="H160">
        <v>2261863922.2412806</v>
      </c>
      <c r="I160">
        <v>446660335.54922456</v>
      </c>
      <c r="J160">
        <v>446660335.54922456</v>
      </c>
      <c r="K160" s="195">
        <f t="shared" si="11"/>
        <v>4030641.5094339619</v>
      </c>
      <c r="L160" s="195">
        <f t="shared" si="12"/>
        <v>1607083.88730611</v>
      </c>
      <c r="M160" s="195">
        <f t="shared" si="13"/>
        <v>1289955.0490661606</v>
      </c>
      <c r="N160" s="195">
        <f t="shared" si="14"/>
        <v>2897038.9363722708</v>
      </c>
      <c r="O160" s="243">
        <v>16639</v>
      </c>
      <c r="Q160" s="195"/>
      <c r="R160" s="139"/>
      <c r="S160" s="115"/>
      <c r="T160" s="247"/>
    </row>
    <row r="161" spans="1:20" x14ac:dyDescent="0.2">
      <c r="A161" t="s">
        <v>691</v>
      </c>
      <c r="C161" s="139" t="s">
        <v>341</v>
      </c>
      <c r="D161">
        <v>0.11312999999999999</v>
      </c>
      <c r="E161">
        <v>0.16617999999999999</v>
      </c>
      <c r="F161">
        <v>0.13844999999999999</v>
      </c>
      <c r="G161" s="247">
        <f t="shared" si="10"/>
        <v>199.44726189056908</v>
      </c>
      <c r="H161">
        <v>5741359083.115242</v>
      </c>
      <c r="I161">
        <v>1333041516.5493789</v>
      </c>
      <c r="J161">
        <v>1333041516.5493789</v>
      </c>
      <c r="K161" s="195">
        <f t="shared" si="11"/>
        <v>6495199.5307282731</v>
      </c>
      <c r="L161" s="195">
        <f t="shared" si="12"/>
        <v>2215248.3922017575</v>
      </c>
      <c r="M161" s="195">
        <f t="shared" si="13"/>
        <v>1845595.9796626149</v>
      </c>
      <c r="N161" s="195">
        <f t="shared" si="14"/>
        <v>4060844.3718643724</v>
      </c>
      <c r="O161" s="243">
        <v>32566</v>
      </c>
      <c r="Q161" s="195"/>
      <c r="R161" s="139"/>
      <c r="S161" s="115"/>
      <c r="T161" s="247"/>
    </row>
    <row r="162" spans="1:20" x14ac:dyDescent="0.2">
      <c r="A162" t="s">
        <v>699</v>
      </c>
      <c r="C162" s="139" t="s">
        <v>505</v>
      </c>
      <c r="D162">
        <v>0.16320000000000001</v>
      </c>
      <c r="E162">
        <v>0.17380000000000001</v>
      </c>
      <c r="F162">
        <v>0.1389</v>
      </c>
      <c r="G162" s="247">
        <f t="shared" si="10"/>
        <v>335.71102635324416</v>
      </c>
      <c r="H162">
        <v>3875076173.0652041</v>
      </c>
      <c r="I162">
        <v>1178362573.0994153</v>
      </c>
      <c r="J162">
        <v>1178362573.0994153</v>
      </c>
      <c r="K162" s="195">
        <f t="shared" si="11"/>
        <v>6324124.3144424139</v>
      </c>
      <c r="L162" s="195">
        <f t="shared" si="12"/>
        <v>2047994.1520467838</v>
      </c>
      <c r="M162" s="195">
        <f t="shared" si="13"/>
        <v>1636745.6140350879</v>
      </c>
      <c r="N162" s="195">
        <f t="shared" si="14"/>
        <v>3684739.7660818715</v>
      </c>
      <c r="O162" s="243">
        <v>18838</v>
      </c>
      <c r="Q162" s="195"/>
      <c r="R162" s="139"/>
      <c r="S162" s="137"/>
      <c r="T162" s="247"/>
    </row>
    <row r="163" spans="1:20" x14ac:dyDescent="0.2">
      <c r="A163" t="s">
        <v>697</v>
      </c>
      <c r="C163" s="139" t="s">
        <v>301</v>
      </c>
      <c r="D163">
        <v>0.14649999999999999</v>
      </c>
      <c r="E163">
        <v>0.30170000000000002</v>
      </c>
      <c r="F163">
        <v>0.23569999999999999</v>
      </c>
      <c r="G163" s="247">
        <f t="shared" si="10"/>
        <v>351.68930834124956</v>
      </c>
      <c r="H163">
        <v>4721518987.3417721</v>
      </c>
      <c r="I163">
        <v>982305829.76345682</v>
      </c>
      <c r="J163">
        <v>982305829.76345682</v>
      </c>
      <c r="K163" s="195">
        <f t="shared" si="11"/>
        <v>6917025.3164556958</v>
      </c>
      <c r="L163" s="195">
        <f t="shared" si="12"/>
        <v>2963616.6883963495</v>
      </c>
      <c r="M163" s="195">
        <f t="shared" si="13"/>
        <v>2315294.8407524675</v>
      </c>
      <c r="N163" s="195">
        <f t="shared" si="14"/>
        <v>5278911.5291488171</v>
      </c>
      <c r="O163" s="243">
        <v>19668</v>
      </c>
      <c r="Q163" s="195"/>
      <c r="R163" s="139"/>
      <c r="S163" s="137"/>
      <c r="T163" s="247"/>
    </row>
    <row r="164" spans="1:20" x14ac:dyDescent="0.2">
      <c r="A164" t="s">
        <v>691</v>
      </c>
      <c r="C164" s="139" t="s">
        <v>342</v>
      </c>
      <c r="D164">
        <v>5.8900000000000001E-2</v>
      </c>
      <c r="E164">
        <v>0.1225</v>
      </c>
      <c r="F164">
        <v>0.10100000000000001</v>
      </c>
      <c r="G164" s="247">
        <f t="shared" si="10"/>
        <v>149.2903908397455</v>
      </c>
      <c r="H164">
        <v>4763605442.1768713</v>
      </c>
      <c r="I164">
        <v>587937384.89871085</v>
      </c>
      <c r="J164">
        <v>587937384.89871085</v>
      </c>
      <c r="K164" s="195">
        <f t="shared" si="11"/>
        <v>2805763.605442177</v>
      </c>
      <c r="L164" s="195">
        <f t="shared" si="12"/>
        <v>720223.29650092078</v>
      </c>
      <c r="M164" s="195">
        <f t="shared" si="13"/>
        <v>593816.75874769804</v>
      </c>
      <c r="N164" s="195">
        <f t="shared" si="14"/>
        <v>1314040.0552486188</v>
      </c>
      <c r="O164" s="243">
        <v>18794</v>
      </c>
      <c r="Q164" s="195"/>
      <c r="R164" s="139"/>
      <c r="S164" s="137"/>
      <c r="T164" s="247"/>
    </row>
    <row r="165" spans="1:20" x14ac:dyDescent="0.2">
      <c r="A165" t="s">
        <v>701</v>
      </c>
      <c r="C165" s="139" t="s">
        <v>423</v>
      </c>
      <c r="D165">
        <v>0.11799999999999999</v>
      </c>
      <c r="E165">
        <v>0.17199999999999999</v>
      </c>
      <c r="F165">
        <v>0.14399999999999999</v>
      </c>
      <c r="G165" s="247">
        <f t="shared" si="10"/>
        <v>201.12415607771936</v>
      </c>
      <c r="H165">
        <v>2294690265.4867253</v>
      </c>
      <c r="I165">
        <v>517076753.58060962</v>
      </c>
      <c r="J165">
        <v>517076753.58060962</v>
      </c>
      <c r="K165" s="195">
        <f t="shared" si="11"/>
        <v>2707734.5132743358</v>
      </c>
      <c r="L165" s="195">
        <f t="shared" si="12"/>
        <v>889372.01615864842</v>
      </c>
      <c r="M165" s="195">
        <f t="shared" si="13"/>
        <v>744590.5251560777</v>
      </c>
      <c r="N165" s="195">
        <f t="shared" si="14"/>
        <v>1633962.5413147262</v>
      </c>
      <c r="O165" s="243">
        <v>13463</v>
      </c>
      <c r="Q165" s="195"/>
      <c r="R165" s="139"/>
      <c r="S165" s="137"/>
      <c r="T165" s="247"/>
    </row>
    <row r="166" spans="1:20" x14ac:dyDescent="0.2">
      <c r="A166" t="s">
        <v>697</v>
      </c>
      <c r="C166" s="139" t="s">
        <v>302</v>
      </c>
      <c r="D166">
        <v>0.1053</v>
      </c>
      <c r="E166">
        <v>0.1787</v>
      </c>
      <c r="F166">
        <v>0.1431</v>
      </c>
      <c r="G166" s="247">
        <f t="shared" si="10"/>
        <v>231.61328643421282</v>
      </c>
      <c r="H166">
        <v>3130188679.2452831</v>
      </c>
      <c r="I166">
        <v>367592902.57783735</v>
      </c>
      <c r="J166">
        <v>367592902.57783735</v>
      </c>
      <c r="K166" s="195">
        <f t="shared" si="11"/>
        <v>3296088.6792452829</v>
      </c>
      <c r="L166" s="195">
        <f t="shared" si="12"/>
        <v>656888.51690659532</v>
      </c>
      <c r="M166" s="195">
        <f t="shared" si="13"/>
        <v>526025.44358888525</v>
      </c>
      <c r="N166" s="195">
        <f t="shared" si="14"/>
        <v>1182913.9604954806</v>
      </c>
      <c r="O166" s="243">
        <v>14231</v>
      </c>
      <c r="Q166" s="195"/>
      <c r="R166" s="139"/>
      <c r="S166" s="137"/>
      <c r="T166" s="247"/>
    </row>
    <row r="167" spans="1:20" x14ac:dyDescent="0.2">
      <c r="A167" t="s">
        <v>694</v>
      </c>
      <c r="C167" s="139" t="s">
        <v>383</v>
      </c>
      <c r="D167">
        <v>0.1216</v>
      </c>
      <c r="E167">
        <v>0.18290000000000001</v>
      </c>
      <c r="F167">
        <v>0.15090000000000001</v>
      </c>
      <c r="G167" s="247">
        <f t="shared" si="10"/>
        <v>294.92623064420621</v>
      </c>
      <c r="H167">
        <v>2769784172.661871</v>
      </c>
      <c r="I167">
        <v>488470873.78640783</v>
      </c>
      <c r="J167">
        <v>488470873.78640783</v>
      </c>
      <c r="K167" s="195">
        <f t="shared" si="11"/>
        <v>3368057.5539568351</v>
      </c>
      <c r="L167" s="195">
        <f t="shared" si="12"/>
        <v>893413.22815533995</v>
      </c>
      <c r="M167" s="195">
        <f t="shared" si="13"/>
        <v>737102.54854368942</v>
      </c>
      <c r="N167" s="195">
        <f t="shared" si="14"/>
        <v>1630515.7766990294</v>
      </c>
      <c r="O167" s="243">
        <v>11420</v>
      </c>
      <c r="Q167" s="195"/>
      <c r="R167" s="139"/>
      <c r="S167" s="137"/>
      <c r="T167" s="247"/>
    </row>
    <row r="168" spans="1:20" x14ac:dyDescent="0.2">
      <c r="A168" t="s">
        <v>695</v>
      </c>
      <c r="C168" s="139" t="s">
        <v>227</v>
      </c>
      <c r="D168">
        <v>0.13569999999999999</v>
      </c>
      <c r="E168">
        <v>0.1623</v>
      </c>
      <c r="F168">
        <v>0.1229</v>
      </c>
      <c r="G168" s="247">
        <f t="shared" si="10"/>
        <v>250.13149754550588</v>
      </c>
      <c r="H168">
        <v>3964685615.8484063</v>
      </c>
      <c r="I168">
        <v>1090846286.7012091</v>
      </c>
      <c r="J168">
        <v>1090846286.7012091</v>
      </c>
      <c r="K168" s="195">
        <f t="shared" si="11"/>
        <v>5380078.3807062861</v>
      </c>
      <c r="L168" s="195">
        <f t="shared" si="12"/>
        <v>1770443.5233160623</v>
      </c>
      <c r="M168" s="195">
        <f t="shared" si="13"/>
        <v>1340650.0863557858</v>
      </c>
      <c r="N168" s="195">
        <f t="shared" si="14"/>
        <v>3111093.6096718479</v>
      </c>
      <c r="O168" s="243">
        <v>21509</v>
      </c>
      <c r="Q168" s="195"/>
      <c r="R168" s="139"/>
      <c r="S168" s="137"/>
      <c r="T168" s="247"/>
    </row>
    <row r="169" spans="1:20" x14ac:dyDescent="0.2">
      <c r="A169" t="s">
        <v>701</v>
      </c>
      <c r="C169" s="139" t="s">
        <v>424</v>
      </c>
      <c r="D169">
        <v>0.1138</v>
      </c>
      <c r="E169">
        <v>0.2208</v>
      </c>
      <c r="F169">
        <v>0.17829999999999999</v>
      </c>
      <c r="G169" s="247">
        <f t="shared" si="10"/>
        <v>234.22210095604748</v>
      </c>
      <c r="H169">
        <v>1117803365.8104517</v>
      </c>
      <c r="I169">
        <v>272068340.66787475</v>
      </c>
      <c r="J169">
        <v>272068340.66787475</v>
      </c>
      <c r="K169" s="195">
        <f t="shared" si="11"/>
        <v>1272060.2302922939</v>
      </c>
      <c r="L169" s="195">
        <f t="shared" si="12"/>
        <v>600726.89619466744</v>
      </c>
      <c r="M169" s="195">
        <f t="shared" si="13"/>
        <v>485097.85141082061</v>
      </c>
      <c r="N169" s="195">
        <f t="shared" si="14"/>
        <v>1085824.7476054882</v>
      </c>
      <c r="O169" s="243">
        <v>5431</v>
      </c>
      <c r="Q169" s="195"/>
      <c r="R169" s="139"/>
      <c r="S169" s="137"/>
      <c r="T169" s="247"/>
    </row>
    <row r="170" spans="1:20" x14ac:dyDescent="0.2">
      <c r="A170" t="s">
        <v>694</v>
      </c>
      <c r="C170" s="139" t="s">
        <v>384</v>
      </c>
      <c r="D170">
        <v>9.4600000000000004E-2</v>
      </c>
      <c r="E170">
        <v>0.21</v>
      </c>
      <c r="F170">
        <v>0.14849999999999999</v>
      </c>
      <c r="G170" s="247">
        <f t="shared" si="10"/>
        <v>216.67974579029013</v>
      </c>
      <c r="H170">
        <v>5947927736.4505844</v>
      </c>
      <c r="I170">
        <v>1137860682.0169046</v>
      </c>
      <c r="J170">
        <v>1137860682.0169046</v>
      </c>
      <c r="K170" s="195">
        <f t="shared" si="11"/>
        <v>5626739.6386822537</v>
      </c>
      <c r="L170" s="195">
        <f t="shared" si="12"/>
        <v>2389507.4322354998</v>
      </c>
      <c r="M170" s="195">
        <f t="shared" si="13"/>
        <v>1689723.1127951031</v>
      </c>
      <c r="N170" s="195">
        <f t="shared" si="14"/>
        <v>4079230.5450306032</v>
      </c>
      <c r="O170" s="243">
        <v>25968</v>
      </c>
      <c r="Q170" s="195"/>
      <c r="R170" s="139"/>
      <c r="S170" s="137"/>
      <c r="T170" s="247"/>
    </row>
    <row r="171" spans="1:20" x14ac:dyDescent="0.2">
      <c r="A171" t="s">
        <v>699</v>
      </c>
      <c r="C171" s="139" t="s">
        <v>506</v>
      </c>
      <c r="D171">
        <v>0.20680000000000001</v>
      </c>
      <c r="E171">
        <v>0.33600000000000002</v>
      </c>
      <c r="F171">
        <v>0.26960000000000001</v>
      </c>
      <c r="G171" s="247">
        <f t="shared" si="10"/>
        <v>250.11007539794272</v>
      </c>
      <c r="H171">
        <v>2949799196.7871485</v>
      </c>
      <c r="I171">
        <v>842617449.66442955</v>
      </c>
      <c r="J171">
        <v>842617449.66442955</v>
      </c>
      <c r="K171" s="195">
        <f t="shared" si="11"/>
        <v>6100184.7389558228</v>
      </c>
      <c r="L171" s="195">
        <f t="shared" si="12"/>
        <v>2831194.6308724834</v>
      </c>
      <c r="M171" s="195">
        <f t="shared" si="13"/>
        <v>2271696.6442953022</v>
      </c>
      <c r="N171" s="195">
        <f t="shared" si="14"/>
        <v>5102891.2751677856</v>
      </c>
      <c r="O171" s="243">
        <v>24390</v>
      </c>
      <c r="Q171" s="195"/>
      <c r="R171" s="139"/>
      <c r="S171" s="137"/>
      <c r="T171" s="247"/>
    </row>
    <row r="172" spans="1:20" x14ac:dyDescent="0.2">
      <c r="A172" t="s">
        <v>691</v>
      </c>
      <c r="C172" s="139" t="s">
        <v>343</v>
      </c>
      <c r="D172">
        <v>8.6800000000000002E-2</v>
      </c>
      <c r="E172">
        <v>0.1019</v>
      </c>
      <c r="F172">
        <v>8.2299999999999998E-2</v>
      </c>
      <c r="G172" s="247">
        <f t="shared" si="10"/>
        <v>185.70169748080875</v>
      </c>
      <c r="H172">
        <v>1978750000</v>
      </c>
      <c r="I172">
        <v>477477477.47747749</v>
      </c>
      <c r="J172">
        <v>477477477.47747749</v>
      </c>
      <c r="K172" s="195">
        <f t="shared" si="11"/>
        <v>1717555</v>
      </c>
      <c r="L172" s="195">
        <f t="shared" si="12"/>
        <v>486549.54954954959</v>
      </c>
      <c r="M172" s="195">
        <f t="shared" si="13"/>
        <v>392963.96396396396</v>
      </c>
      <c r="N172" s="195">
        <f t="shared" si="14"/>
        <v>879513.51351351361</v>
      </c>
      <c r="O172" s="243">
        <v>9249</v>
      </c>
      <c r="Q172" s="195"/>
      <c r="R172" s="139"/>
      <c r="S172" s="137"/>
      <c r="T172" s="247"/>
    </row>
    <row r="173" spans="1:20" x14ac:dyDescent="0.2">
      <c r="A173" t="s">
        <v>693</v>
      </c>
      <c r="C173" s="139" t="s">
        <v>535</v>
      </c>
      <c r="D173">
        <v>0.14219999999999999</v>
      </c>
      <c r="E173">
        <v>0.221</v>
      </c>
      <c r="F173">
        <v>0.17560000000000001</v>
      </c>
      <c r="G173" s="247">
        <f t="shared" si="10"/>
        <v>219.58832520266071</v>
      </c>
      <c r="H173">
        <v>853028064.99261451</v>
      </c>
      <c r="I173">
        <v>217391304.34782606</v>
      </c>
      <c r="J173">
        <v>217391304.34782606</v>
      </c>
      <c r="K173" s="195">
        <f t="shared" si="11"/>
        <v>1213005.9084194978</v>
      </c>
      <c r="L173" s="195">
        <f t="shared" si="12"/>
        <v>480434.78260869562</v>
      </c>
      <c r="M173" s="195">
        <f t="shared" si="13"/>
        <v>381739.13043478259</v>
      </c>
      <c r="N173" s="195">
        <f t="shared" si="14"/>
        <v>862173.91304347827</v>
      </c>
      <c r="O173" s="243">
        <v>5524</v>
      </c>
      <c r="Q173" s="195"/>
      <c r="R173" s="139"/>
      <c r="S173" s="137"/>
      <c r="T173" s="247"/>
    </row>
    <row r="174" spans="1:20" x14ac:dyDescent="0.2">
      <c r="A174" t="s">
        <v>694</v>
      </c>
      <c r="C174" s="139" t="s">
        <v>385</v>
      </c>
      <c r="D174">
        <v>0.1336</v>
      </c>
      <c r="E174">
        <v>0.22370000000000001</v>
      </c>
      <c r="F174">
        <v>0.187</v>
      </c>
      <c r="G174" s="247">
        <f t="shared" si="10"/>
        <v>294.3413106687542</v>
      </c>
      <c r="H174">
        <v>985029940.11976051</v>
      </c>
      <c r="I174">
        <v>122473825.17652789</v>
      </c>
      <c r="J174">
        <v>122473825.17652789</v>
      </c>
      <c r="K174" s="195">
        <f t="shared" si="11"/>
        <v>1316000</v>
      </c>
      <c r="L174" s="195">
        <f t="shared" si="12"/>
        <v>273973.94691989291</v>
      </c>
      <c r="M174" s="195">
        <f t="shared" si="13"/>
        <v>229026.05308010717</v>
      </c>
      <c r="N174" s="195">
        <f t="shared" si="14"/>
        <v>503000.00000000012</v>
      </c>
      <c r="O174" s="243">
        <v>4471</v>
      </c>
      <c r="Q174" s="195"/>
      <c r="R174" s="139"/>
      <c r="S174" s="137"/>
      <c r="T174" s="247"/>
    </row>
    <row r="175" spans="1:20" x14ac:dyDescent="0.2">
      <c r="A175" t="s">
        <v>694</v>
      </c>
      <c r="C175" s="139" t="s">
        <v>386</v>
      </c>
      <c r="D175">
        <v>0.13619999999999999</v>
      </c>
      <c r="E175">
        <v>0.27739999999999998</v>
      </c>
      <c r="F175">
        <v>0.22189999999999999</v>
      </c>
      <c r="G175" s="247">
        <f t="shared" si="10"/>
        <v>287.18144575365432</v>
      </c>
      <c r="H175">
        <v>2605929139.5516992</v>
      </c>
      <c r="I175">
        <v>448828359.70358503</v>
      </c>
      <c r="J175">
        <v>448828359.70358503</v>
      </c>
      <c r="K175" s="195">
        <f t="shared" si="11"/>
        <v>3549275.4880694137</v>
      </c>
      <c r="L175" s="195">
        <f t="shared" si="12"/>
        <v>1245049.8698177447</v>
      </c>
      <c r="M175" s="195">
        <f t="shared" si="13"/>
        <v>995950.13018225506</v>
      </c>
      <c r="N175" s="195">
        <f t="shared" si="14"/>
        <v>2241000</v>
      </c>
      <c r="O175" s="243">
        <v>12359</v>
      </c>
      <c r="Q175" s="195"/>
      <c r="R175" s="139"/>
      <c r="S175" s="137"/>
      <c r="T175" s="247"/>
    </row>
    <row r="176" spans="1:20" x14ac:dyDescent="0.2">
      <c r="A176" t="s">
        <v>694</v>
      </c>
      <c r="C176" s="139" t="s">
        <v>595</v>
      </c>
      <c r="D176">
        <v>0.12559999999999999</v>
      </c>
      <c r="E176">
        <v>0.24060000000000001</v>
      </c>
      <c r="F176">
        <v>0.21190000000000001</v>
      </c>
      <c r="G176" s="247">
        <f t="shared" si="10"/>
        <v>279.10106455991377</v>
      </c>
      <c r="H176">
        <v>5206923682.140048</v>
      </c>
      <c r="I176">
        <v>992585935.74477637</v>
      </c>
      <c r="J176">
        <v>992585935.74477637</v>
      </c>
      <c r="K176" s="195">
        <f t="shared" si="11"/>
        <v>6539896.1447678991</v>
      </c>
      <c r="L176" s="195">
        <f t="shared" si="12"/>
        <v>2388161.7614019318</v>
      </c>
      <c r="M176" s="195">
        <f t="shared" si="13"/>
        <v>2103289.5978431813</v>
      </c>
      <c r="N176" s="195">
        <f t="shared" si="14"/>
        <v>4491451.3592451131</v>
      </c>
      <c r="O176" s="243">
        <v>23432</v>
      </c>
      <c r="Q176" s="195"/>
      <c r="R176" s="139"/>
      <c r="S176" s="137"/>
      <c r="T176" s="247"/>
    </row>
    <row r="177" spans="1:20" x14ac:dyDescent="0.2">
      <c r="A177" t="s">
        <v>690</v>
      </c>
      <c r="C177" s="139" t="s">
        <v>467</v>
      </c>
      <c r="D177">
        <v>0.10914699999999999</v>
      </c>
      <c r="E177">
        <v>0.16452800000000001</v>
      </c>
      <c r="F177">
        <v>0.133243</v>
      </c>
      <c r="G177" s="247">
        <f t="shared" si="10"/>
        <v>250.79188958212762</v>
      </c>
      <c r="H177">
        <v>2128400481.185235</v>
      </c>
      <c r="I177">
        <v>512499331.68865091</v>
      </c>
      <c r="J177">
        <v>512499331.68865091</v>
      </c>
      <c r="K177" s="195">
        <f t="shared" si="11"/>
        <v>2323085.2731992481</v>
      </c>
      <c r="L177" s="195">
        <f t="shared" si="12"/>
        <v>843204.90044070361</v>
      </c>
      <c r="M177" s="195">
        <f t="shared" si="13"/>
        <v>682869.48452190903</v>
      </c>
      <c r="N177" s="195">
        <f t="shared" si="14"/>
        <v>1526074.3849626128</v>
      </c>
      <c r="O177" s="243">
        <v>9263</v>
      </c>
      <c r="Q177" s="195"/>
      <c r="R177" s="139"/>
      <c r="S177" s="137"/>
      <c r="T177" s="247"/>
    </row>
    <row r="178" spans="1:20" x14ac:dyDescent="0.2">
      <c r="A178" t="s">
        <v>690</v>
      </c>
      <c r="C178" s="139" t="s">
        <v>468</v>
      </c>
      <c r="D178">
        <v>0.10292999999999999</v>
      </c>
      <c r="E178">
        <v>0.25302000000000002</v>
      </c>
      <c r="F178">
        <v>0.19111</v>
      </c>
      <c r="G178" s="247">
        <f t="shared" si="10"/>
        <v>250.05244748001627</v>
      </c>
      <c r="H178">
        <v>1533888228.2996433</v>
      </c>
      <c r="I178">
        <v>319271609.09047234</v>
      </c>
      <c r="J178">
        <v>319271609.09047234</v>
      </c>
      <c r="K178" s="195">
        <f t="shared" si="11"/>
        <v>1578831.1533888227</v>
      </c>
      <c r="L178" s="195">
        <f t="shared" si="12"/>
        <v>807821.02532071318</v>
      </c>
      <c r="M178" s="195">
        <f t="shared" si="13"/>
        <v>610159.97213280166</v>
      </c>
      <c r="N178" s="195">
        <f t="shared" si="14"/>
        <v>1417980.997453515</v>
      </c>
      <c r="O178" s="243">
        <v>6314</v>
      </c>
      <c r="Q178" s="195"/>
      <c r="R178" s="139"/>
      <c r="S178" s="137"/>
      <c r="T178" s="247"/>
    </row>
    <row r="179" spans="1:20" x14ac:dyDescent="0.2">
      <c r="A179" t="s">
        <v>699</v>
      </c>
      <c r="C179" s="139" t="s">
        <v>507</v>
      </c>
      <c r="D179">
        <v>0.188171</v>
      </c>
      <c r="E179">
        <v>0.26452199999999998</v>
      </c>
      <c r="F179">
        <v>0.20623</v>
      </c>
      <c r="G179" s="247">
        <f t="shared" si="10"/>
        <v>264.52806825522168</v>
      </c>
      <c r="H179">
        <v>2562184700.0970764</v>
      </c>
      <c r="I179">
        <v>488377283.60577124</v>
      </c>
      <c r="J179">
        <v>488377283.60577124</v>
      </c>
      <c r="K179" s="195">
        <f t="shared" si="11"/>
        <v>4821288.5720196702</v>
      </c>
      <c r="L179" s="195">
        <f t="shared" si="12"/>
        <v>1291865.3581396581</v>
      </c>
      <c r="M179" s="195">
        <f t="shared" si="13"/>
        <v>1007180.4719801821</v>
      </c>
      <c r="N179" s="195">
        <f t="shared" si="14"/>
        <v>2299045.8301198403</v>
      </c>
      <c r="O179" s="243">
        <v>18226</v>
      </c>
      <c r="Q179" s="195"/>
      <c r="R179" s="139"/>
      <c r="S179" s="137"/>
      <c r="T179" s="247"/>
    </row>
    <row r="180" spans="1:20" x14ac:dyDescent="0.2">
      <c r="A180" t="s">
        <v>691</v>
      </c>
      <c r="C180" s="139" t="s">
        <v>344</v>
      </c>
      <c r="D180">
        <v>0.12261</v>
      </c>
      <c r="E180">
        <v>0.27118999999999999</v>
      </c>
      <c r="F180">
        <v>0.23244000000000001</v>
      </c>
      <c r="G180" s="247">
        <f t="shared" si="10"/>
        <v>325.03238965643811</v>
      </c>
      <c r="H180">
        <v>1241437632.1353066</v>
      </c>
      <c r="I180">
        <v>142850429.96099809</v>
      </c>
      <c r="J180">
        <v>142850429.96099809</v>
      </c>
      <c r="K180" s="195">
        <f t="shared" si="11"/>
        <v>1522126.6807610996</v>
      </c>
      <c r="L180" s="195">
        <f t="shared" si="12"/>
        <v>387396.08101123071</v>
      </c>
      <c r="M180" s="195">
        <f t="shared" si="13"/>
        <v>332041.53940134397</v>
      </c>
      <c r="N180" s="195">
        <f t="shared" si="14"/>
        <v>719437.62041257462</v>
      </c>
      <c r="O180" s="243">
        <v>4683</v>
      </c>
      <c r="Q180" s="195"/>
      <c r="R180" s="139"/>
      <c r="S180" s="137"/>
      <c r="T180" s="247"/>
    </row>
    <row r="181" spans="1:20" x14ac:dyDescent="0.2">
      <c r="A181" t="s">
        <v>691</v>
      </c>
      <c r="C181" s="139" t="s">
        <v>345</v>
      </c>
      <c r="D181">
        <v>0.1174</v>
      </c>
      <c r="E181">
        <v>0.20469999999999999</v>
      </c>
      <c r="F181">
        <v>0.1661</v>
      </c>
      <c r="G181" s="247">
        <f t="shared" si="10"/>
        <v>285.46526557362353</v>
      </c>
      <c r="H181">
        <v>2756660746.003552</v>
      </c>
      <c r="I181">
        <v>418481295.36571753</v>
      </c>
      <c r="J181">
        <v>418481295.36571753</v>
      </c>
      <c r="K181" s="195">
        <f t="shared" si="11"/>
        <v>3236319.7158081699</v>
      </c>
      <c r="L181" s="195">
        <f t="shared" si="12"/>
        <v>856631.21161362377</v>
      </c>
      <c r="M181" s="195">
        <f t="shared" si="13"/>
        <v>695097.43160245684</v>
      </c>
      <c r="N181" s="195">
        <f t="shared" si="14"/>
        <v>1551728.6432160805</v>
      </c>
      <c r="O181" s="243">
        <v>11337</v>
      </c>
      <c r="Q181" s="195"/>
      <c r="R181" s="139"/>
      <c r="S181" s="137"/>
      <c r="T181" s="247"/>
    </row>
    <row r="182" spans="1:20" x14ac:dyDescent="0.2">
      <c r="A182" t="s">
        <v>694</v>
      </c>
      <c r="C182" s="139" t="s">
        <v>387</v>
      </c>
      <c r="D182">
        <v>0.1454</v>
      </c>
      <c r="E182">
        <v>0.25080000000000002</v>
      </c>
      <c r="F182">
        <v>0.20100000000000001</v>
      </c>
      <c r="G182" s="247">
        <f t="shared" si="10"/>
        <v>360.95606674504387</v>
      </c>
      <c r="H182">
        <v>5720930232.5581398</v>
      </c>
      <c r="I182">
        <v>1829777576.0326829</v>
      </c>
      <c r="J182">
        <v>1829777576.0326829</v>
      </c>
      <c r="K182" s="195">
        <f t="shared" si="11"/>
        <v>8318232.5581395356</v>
      </c>
      <c r="L182" s="195">
        <f t="shared" si="12"/>
        <v>4589082.1606899686</v>
      </c>
      <c r="M182" s="195">
        <f t="shared" si="13"/>
        <v>3677852.927825693</v>
      </c>
      <c r="N182" s="195">
        <f t="shared" si="14"/>
        <v>8266935.0885156617</v>
      </c>
      <c r="O182" s="243">
        <v>23045</v>
      </c>
      <c r="Q182" s="195"/>
      <c r="R182" s="139"/>
      <c r="S182" s="137"/>
      <c r="T182" s="247"/>
    </row>
    <row r="183" spans="1:20" x14ac:dyDescent="0.2">
      <c r="A183" t="s">
        <v>691</v>
      </c>
      <c r="C183" s="139" t="s">
        <v>346</v>
      </c>
      <c r="D183">
        <v>0.1192</v>
      </c>
      <c r="E183">
        <v>0.21940000000000001</v>
      </c>
      <c r="F183">
        <v>0.15820000000000001</v>
      </c>
      <c r="G183" s="247">
        <f t="shared" si="10"/>
        <v>560.97119043304951</v>
      </c>
      <c r="H183">
        <v>2597315436.2416105</v>
      </c>
      <c r="I183">
        <v>254414125.20064205</v>
      </c>
      <c r="J183">
        <v>254414125.20064205</v>
      </c>
      <c r="K183" s="195">
        <f t="shared" si="11"/>
        <v>3096000</v>
      </c>
      <c r="L183" s="195">
        <f t="shared" si="12"/>
        <v>558184.59069020872</v>
      </c>
      <c r="M183" s="195">
        <f t="shared" si="13"/>
        <v>402483.14606741577</v>
      </c>
      <c r="N183" s="195">
        <f t="shared" si="14"/>
        <v>960667.73675762443</v>
      </c>
      <c r="O183" s="243">
        <v>5519</v>
      </c>
      <c r="Q183" s="195"/>
      <c r="R183" s="139"/>
      <c r="S183" s="137"/>
      <c r="T183" s="247"/>
    </row>
    <row r="184" spans="1:20" x14ac:dyDescent="0.2">
      <c r="A184" t="s">
        <v>698</v>
      </c>
      <c r="C184" s="139" t="s">
        <v>184</v>
      </c>
      <c r="D184">
        <v>0.16950000000000001</v>
      </c>
      <c r="E184">
        <v>0.21679999999999999</v>
      </c>
      <c r="F184">
        <v>0.17299999999999999</v>
      </c>
      <c r="G184" s="247">
        <f t="shared" si="10"/>
        <v>282.44424750421706</v>
      </c>
      <c r="H184">
        <v>1443548387.0967741</v>
      </c>
      <c r="I184">
        <v>360458612.97539145</v>
      </c>
      <c r="J184">
        <v>360458612.97539145</v>
      </c>
      <c r="K184" s="195">
        <f t="shared" si="11"/>
        <v>2446814.5161290322</v>
      </c>
      <c r="L184" s="195">
        <f t="shared" si="12"/>
        <v>781474.27293064864</v>
      </c>
      <c r="M184" s="195">
        <f t="shared" si="13"/>
        <v>623593.40044742718</v>
      </c>
      <c r="N184" s="195">
        <f t="shared" si="14"/>
        <v>1405067.6733780759</v>
      </c>
      <c r="O184" s="243">
        <v>8663</v>
      </c>
      <c r="Q184" s="195"/>
      <c r="R184" s="139"/>
      <c r="S184" s="137"/>
      <c r="T184" s="247"/>
    </row>
    <row r="185" spans="1:20" x14ac:dyDescent="0.2">
      <c r="A185" t="s">
        <v>694</v>
      </c>
      <c r="C185" s="139" t="s">
        <v>388</v>
      </c>
      <c r="D185">
        <v>0.16070000000000001</v>
      </c>
      <c r="E185">
        <v>0.34870000000000001</v>
      </c>
      <c r="F185">
        <v>0.27539999999999998</v>
      </c>
      <c r="G185" s="247">
        <f t="shared" si="10"/>
        <v>310.19299051607783</v>
      </c>
      <c r="H185">
        <v>1720634920.6349206</v>
      </c>
      <c r="I185">
        <v>331587561.37479544</v>
      </c>
      <c r="J185">
        <v>331587561.37479544</v>
      </c>
      <c r="K185" s="195">
        <f t="shared" si="11"/>
        <v>2765060.3174603176</v>
      </c>
      <c r="L185" s="195">
        <f t="shared" si="12"/>
        <v>1156245.8265139118</v>
      </c>
      <c r="M185" s="195">
        <f t="shared" si="13"/>
        <v>913192.14402618667</v>
      </c>
      <c r="N185" s="195">
        <f t="shared" si="14"/>
        <v>2069437.9705400984</v>
      </c>
      <c r="O185" s="243">
        <v>8914</v>
      </c>
      <c r="Q185" s="195"/>
      <c r="R185" s="139"/>
      <c r="S185" s="137"/>
      <c r="T185" s="247"/>
    </row>
    <row r="186" spans="1:20" x14ac:dyDescent="0.2">
      <c r="A186" s="137" t="s">
        <v>693</v>
      </c>
      <c r="B186" s="137"/>
      <c r="C186" s="139" t="s">
        <v>205</v>
      </c>
      <c r="D186">
        <v>0.16891</v>
      </c>
      <c r="E186">
        <v>0.39800999999999997</v>
      </c>
      <c r="F186">
        <v>0.31841000000000003</v>
      </c>
      <c r="G186" s="247">
        <f t="shared" si="10"/>
        <v>205.18858290427738</v>
      </c>
      <c r="H186">
        <v>6848568313.5364666</v>
      </c>
      <c r="I186">
        <v>2760688522.6672926</v>
      </c>
      <c r="J186">
        <v>2760688522.6672926</v>
      </c>
      <c r="K186" s="195">
        <f t="shared" si="11"/>
        <v>11567916.738394447</v>
      </c>
      <c r="L186" s="195">
        <f t="shared" si="12"/>
        <v>10987816.389068091</v>
      </c>
      <c r="M186" s="195">
        <f t="shared" si="13"/>
        <v>8790308.325024927</v>
      </c>
      <c r="N186" s="195">
        <f t="shared" si="14"/>
        <v>19778124.714093018</v>
      </c>
      <c r="O186" s="243">
        <v>56377</v>
      </c>
      <c r="Q186" s="195"/>
      <c r="R186" s="139"/>
      <c r="S186" s="137"/>
      <c r="T186" s="247"/>
    </row>
    <row r="187" spans="1:20" x14ac:dyDescent="0.2">
      <c r="A187" t="s">
        <v>693</v>
      </c>
      <c r="C187" s="139" t="s">
        <v>206</v>
      </c>
      <c r="D187">
        <v>0.21790000000000001</v>
      </c>
      <c r="E187">
        <v>0.21790000000000001</v>
      </c>
      <c r="F187">
        <v>0.1825</v>
      </c>
      <c r="G187" s="247">
        <f t="shared" si="10"/>
        <v>323.51231101919484</v>
      </c>
      <c r="H187">
        <v>671967287.59654701</v>
      </c>
      <c r="I187">
        <v>124381800.19782396</v>
      </c>
      <c r="J187">
        <v>124381800.19782396</v>
      </c>
      <c r="K187" s="195">
        <f t="shared" si="11"/>
        <v>1464216.7196728759</v>
      </c>
      <c r="L187" s="195">
        <f t="shared" si="12"/>
        <v>271027.94263105845</v>
      </c>
      <c r="M187" s="195">
        <f t="shared" si="13"/>
        <v>226996.78536102871</v>
      </c>
      <c r="N187" s="195">
        <f t="shared" si="14"/>
        <v>498024.72799208714</v>
      </c>
      <c r="O187" s="243">
        <v>4526</v>
      </c>
      <c r="Q187" s="195"/>
      <c r="R187" s="139"/>
      <c r="S187" s="137"/>
      <c r="T187" s="247"/>
    </row>
    <row r="188" spans="1:20" x14ac:dyDescent="0.2">
      <c r="A188" t="s">
        <v>694</v>
      </c>
      <c r="C188" s="139" t="s">
        <v>389</v>
      </c>
      <c r="D188">
        <v>0.1714</v>
      </c>
      <c r="E188">
        <v>0.42897999999999997</v>
      </c>
      <c r="F188">
        <v>0.42846000000000001</v>
      </c>
      <c r="G188" s="247">
        <f t="shared" si="10"/>
        <v>4.9286390928696928</v>
      </c>
      <c r="H188">
        <v>172637517.63046545</v>
      </c>
      <c r="I188">
        <v>2971101410.9238396</v>
      </c>
      <c r="J188">
        <v>2971101410.9238396</v>
      </c>
      <c r="K188" s="195">
        <f t="shared" si="11"/>
        <v>295900.70521861775</v>
      </c>
      <c r="L188" s="195">
        <f t="shared" si="12"/>
        <v>12745430.832581086</v>
      </c>
      <c r="M188" s="195">
        <f t="shared" si="13"/>
        <v>12729981.105244284</v>
      </c>
      <c r="N188" s="195">
        <f t="shared" si="14"/>
        <v>25475411.937825371</v>
      </c>
      <c r="O188" s="243">
        <v>60037</v>
      </c>
      <c r="Q188" s="195"/>
      <c r="R188" s="139"/>
      <c r="S188" s="137"/>
      <c r="T188" s="247"/>
    </row>
    <row r="189" spans="1:20" x14ac:dyDescent="0.2">
      <c r="A189" t="s">
        <v>694</v>
      </c>
      <c r="C189" s="139" t="s">
        <v>390</v>
      </c>
      <c r="D189">
        <v>0.1714</v>
      </c>
      <c r="E189">
        <v>0.27800000000000002</v>
      </c>
      <c r="F189">
        <v>0.20710000000000001</v>
      </c>
      <c r="G189" s="247">
        <f t="shared" si="10"/>
        <v>396.20471004756047</v>
      </c>
      <c r="H189">
        <v>2796317606.4441886</v>
      </c>
      <c r="I189">
        <v>450649602.48206311</v>
      </c>
      <c r="J189">
        <v>450649602.48206311</v>
      </c>
      <c r="K189" s="195">
        <f t="shared" si="11"/>
        <v>4792888.3774453392</v>
      </c>
      <c r="L189" s="195">
        <f t="shared" si="12"/>
        <v>1252805.8949001355</v>
      </c>
      <c r="M189" s="195">
        <f t="shared" si="13"/>
        <v>933295.32674035279</v>
      </c>
      <c r="N189" s="195">
        <f t="shared" si="14"/>
        <v>2186101.2216404881</v>
      </c>
      <c r="O189" s="243">
        <v>12097</v>
      </c>
      <c r="Q189" s="195"/>
      <c r="R189" s="139"/>
      <c r="S189" s="137"/>
      <c r="T189" s="247"/>
    </row>
    <row r="190" spans="1:20" x14ac:dyDescent="0.2">
      <c r="A190" t="s">
        <v>694</v>
      </c>
      <c r="C190" s="139" t="s">
        <v>391</v>
      </c>
      <c r="D190">
        <v>9.4240000000000004E-2</v>
      </c>
      <c r="E190">
        <v>0.30203000000000002</v>
      </c>
      <c r="F190">
        <v>0</v>
      </c>
      <c r="G190" s="247">
        <f t="shared" si="10"/>
        <v>216.15291633533533</v>
      </c>
      <c r="H190">
        <v>8399320666.5959034</v>
      </c>
      <c r="I190">
        <v>1283350932.7701514</v>
      </c>
      <c r="J190">
        <v>1283350932.7701514</v>
      </c>
      <c r="K190" s="195">
        <f t="shared" si="11"/>
        <v>7915519.7961999802</v>
      </c>
      <c r="L190" s="195">
        <f t="shared" si="12"/>
        <v>3876104.8222456886</v>
      </c>
      <c r="M190" s="195">
        <f t="shared" si="13"/>
        <v>0</v>
      </c>
      <c r="N190" s="195">
        <f t="shared" si="14"/>
        <v>3876104.8222456886</v>
      </c>
      <c r="O190" s="243">
        <v>36620</v>
      </c>
      <c r="Q190" s="195"/>
      <c r="R190" s="139"/>
      <c r="S190" s="137"/>
      <c r="T190" s="247"/>
    </row>
    <row r="191" spans="1:20" x14ac:dyDescent="0.2">
      <c r="A191" t="s">
        <v>696</v>
      </c>
      <c r="C191" s="139" t="s">
        <v>531</v>
      </c>
      <c r="D191">
        <v>0.2014</v>
      </c>
      <c r="E191">
        <v>0.6895</v>
      </c>
      <c r="F191">
        <v>0</v>
      </c>
      <c r="G191" s="247">
        <f t="shared" si="10"/>
        <v>311.17514380945835</v>
      </c>
      <c r="H191">
        <v>5086956521.73913</v>
      </c>
      <c r="I191">
        <v>1906052672.1084244</v>
      </c>
      <c r="J191">
        <v>1906052672.1084244</v>
      </c>
      <c r="K191" s="195">
        <f t="shared" si="11"/>
        <v>10245130.434782607</v>
      </c>
      <c r="L191" s="195">
        <f t="shared" si="12"/>
        <v>13142233.174187586</v>
      </c>
      <c r="M191" s="195">
        <f t="shared" si="13"/>
        <v>0</v>
      </c>
      <c r="N191" s="195">
        <f t="shared" si="14"/>
        <v>13142233.174187586</v>
      </c>
      <c r="O191" s="243">
        <v>32924</v>
      </c>
      <c r="Q191" s="195"/>
      <c r="R191" s="139"/>
      <c r="S191" s="137"/>
      <c r="T191" s="247"/>
    </row>
    <row r="192" spans="1:20" x14ac:dyDescent="0.2">
      <c r="A192" t="s">
        <v>699</v>
      </c>
      <c r="C192" s="139" t="s">
        <v>508</v>
      </c>
      <c r="D192">
        <v>0.11799999999999999</v>
      </c>
      <c r="E192">
        <v>0.1303</v>
      </c>
      <c r="F192">
        <v>0.1303</v>
      </c>
      <c r="G192" s="247">
        <f t="shared" si="10"/>
        <v>227.97767069209414</v>
      </c>
      <c r="H192">
        <v>3139329805.9964728</v>
      </c>
      <c r="I192">
        <v>798855273.91659856</v>
      </c>
      <c r="J192">
        <v>798855273.91659856</v>
      </c>
      <c r="K192" s="195">
        <f t="shared" si="11"/>
        <v>3704409.1710758377</v>
      </c>
      <c r="L192" s="195">
        <f t="shared" si="12"/>
        <v>1040908.4219133279</v>
      </c>
      <c r="M192" s="195">
        <f t="shared" si="13"/>
        <v>1040908.4219133279</v>
      </c>
      <c r="N192" s="195">
        <f t="shared" si="14"/>
        <v>2081816.8438266558</v>
      </c>
      <c r="O192" s="243">
        <v>16249</v>
      </c>
      <c r="Q192" s="195"/>
      <c r="R192" s="139"/>
      <c r="S192" s="137"/>
      <c r="T192" s="247"/>
    </row>
    <row r="193" spans="1:20" x14ac:dyDescent="0.2">
      <c r="A193" t="s">
        <v>697</v>
      </c>
      <c r="C193" s="139" t="s">
        <v>303</v>
      </c>
      <c r="D193">
        <v>0.1188</v>
      </c>
      <c r="E193">
        <v>0.24299999999999999</v>
      </c>
      <c r="F193">
        <v>0.1958</v>
      </c>
      <c r="G193" s="247">
        <f t="shared" si="10"/>
        <v>310.35453815200378</v>
      </c>
      <c r="H193">
        <v>3258200168.2085786</v>
      </c>
      <c r="I193">
        <v>585111211.98365867</v>
      </c>
      <c r="J193">
        <v>585111211.98365867</v>
      </c>
      <c r="K193" s="195">
        <f t="shared" si="11"/>
        <v>3870741.7998317913</v>
      </c>
      <c r="L193" s="195">
        <f t="shared" si="12"/>
        <v>1421820.2451202904</v>
      </c>
      <c r="M193" s="195">
        <f t="shared" si="13"/>
        <v>1145647.7530640038</v>
      </c>
      <c r="N193" s="195">
        <f t="shared" si="14"/>
        <v>2567467.9981842944</v>
      </c>
      <c r="O193" s="243">
        <v>12472</v>
      </c>
      <c r="Q193" s="195"/>
      <c r="R193" s="139"/>
      <c r="S193" s="137"/>
      <c r="T193" s="247"/>
    </row>
    <row r="194" spans="1:20" x14ac:dyDescent="0.2">
      <c r="A194" t="s">
        <v>692</v>
      </c>
      <c r="C194" s="139" t="s">
        <v>264</v>
      </c>
      <c r="D194">
        <v>0.122</v>
      </c>
      <c r="E194">
        <v>0.219</v>
      </c>
      <c r="F194">
        <v>0.183</v>
      </c>
      <c r="G194" s="247">
        <f t="shared" si="10"/>
        <v>285.51864409282274</v>
      </c>
      <c r="H194">
        <v>1065546218.4873949</v>
      </c>
      <c r="I194">
        <v>158123569.79405034</v>
      </c>
      <c r="J194">
        <v>158123569.79405034</v>
      </c>
      <c r="K194" s="195">
        <f t="shared" si="11"/>
        <v>1299966.3865546219</v>
      </c>
      <c r="L194" s="195">
        <f t="shared" si="12"/>
        <v>346290.61784897023</v>
      </c>
      <c r="M194" s="195">
        <f t="shared" si="13"/>
        <v>289366.13272311212</v>
      </c>
      <c r="N194" s="195">
        <f t="shared" si="14"/>
        <v>635656.75057208235</v>
      </c>
      <c r="O194" s="243">
        <v>4553</v>
      </c>
      <c r="Q194" s="195"/>
      <c r="R194" s="139"/>
      <c r="S194" s="137"/>
      <c r="T194" s="247"/>
    </row>
    <row r="195" spans="1:20" x14ac:dyDescent="0.2">
      <c r="A195" t="s">
        <v>692</v>
      </c>
      <c r="C195" s="139" t="s">
        <v>265</v>
      </c>
      <c r="D195">
        <v>0.1938</v>
      </c>
      <c r="E195">
        <v>0.30459999999999998</v>
      </c>
      <c r="F195">
        <v>0.24349999999999999</v>
      </c>
      <c r="G195" s="247">
        <f t="shared" ref="G195:G259" si="15">K195/O195</f>
        <v>421.09355984935434</v>
      </c>
      <c r="H195">
        <v>4234619395.2033372</v>
      </c>
      <c r="I195">
        <v>588082420.64228702</v>
      </c>
      <c r="J195">
        <v>588082420.64228702</v>
      </c>
      <c r="K195" s="195">
        <f t="shared" ref="K195:K259" si="16">D195*H195/100</f>
        <v>8206692.3879040666</v>
      </c>
      <c r="L195" s="195">
        <f t="shared" ref="L195:L259" si="17">E195*J195/100</f>
        <v>1791299.0532764061</v>
      </c>
      <c r="M195" s="195">
        <f t="shared" ref="M195:M259" si="18">F195*I195/100</f>
        <v>1431980.6942639688</v>
      </c>
      <c r="N195" s="195">
        <f t="shared" ref="N195:N259" si="19">SUM(L195:M195)</f>
        <v>3223279.7475403752</v>
      </c>
      <c r="O195" s="243">
        <v>19489</v>
      </c>
      <c r="Q195" s="195"/>
      <c r="R195" s="139"/>
      <c r="S195" s="137"/>
      <c r="T195" s="247"/>
    </row>
    <row r="196" spans="1:20" x14ac:dyDescent="0.2">
      <c r="A196" t="s">
        <v>691</v>
      </c>
      <c r="C196" s="139" t="s">
        <v>392</v>
      </c>
      <c r="D196">
        <v>9.4700000000000006E-2</v>
      </c>
      <c r="E196">
        <v>0.1797</v>
      </c>
      <c r="F196">
        <v>0.15909999999999999</v>
      </c>
      <c r="G196" s="247">
        <f t="shared" si="15"/>
        <v>228.15003871532454</v>
      </c>
      <c r="H196">
        <v>2436170212.7659574</v>
      </c>
      <c r="I196">
        <v>622965641.95298374</v>
      </c>
      <c r="J196">
        <v>622965641.95298374</v>
      </c>
      <c r="K196" s="195">
        <f t="shared" si="16"/>
        <v>2307053.1914893617</v>
      </c>
      <c r="L196" s="195">
        <f t="shared" si="17"/>
        <v>1119469.2585895117</v>
      </c>
      <c r="M196" s="195">
        <f t="shared" si="18"/>
        <v>991138.33634719718</v>
      </c>
      <c r="N196" s="195">
        <f t="shared" si="19"/>
        <v>2110607.5949367089</v>
      </c>
      <c r="O196" s="243">
        <v>10112</v>
      </c>
      <c r="Q196" s="195"/>
      <c r="R196" s="139"/>
      <c r="S196" s="137"/>
      <c r="T196" s="247"/>
    </row>
    <row r="197" spans="1:20" x14ac:dyDescent="0.2">
      <c r="A197" t="s">
        <v>693</v>
      </c>
      <c r="C197" s="139" t="s">
        <v>207</v>
      </c>
      <c r="D197">
        <v>0.1489</v>
      </c>
      <c r="E197">
        <v>0.1489</v>
      </c>
      <c r="F197">
        <v>0.12670000000000001</v>
      </c>
      <c r="G197" s="247">
        <f t="shared" si="15"/>
        <v>247.1541746096789</v>
      </c>
      <c r="H197">
        <v>755405405.4054054</v>
      </c>
      <c r="I197">
        <v>214022140.2214022</v>
      </c>
      <c r="J197">
        <v>214022140.2214022</v>
      </c>
      <c r="K197" s="195">
        <f t="shared" si="16"/>
        <v>1124798.6486486488</v>
      </c>
      <c r="L197" s="195">
        <f t="shared" si="17"/>
        <v>318678.96678966784</v>
      </c>
      <c r="M197" s="195">
        <f t="shared" si="18"/>
        <v>271166.05166051659</v>
      </c>
      <c r="N197" s="195">
        <f t="shared" si="19"/>
        <v>589845.01845018449</v>
      </c>
      <c r="O197" s="243">
        <v>4551</v>
      </c>
      <c r="Q197" s="195"/>
      <c r="R197" s="139"/>
      <c r="S197" s="137"/>
      <c r="T197" s="247"/>
    </row>
    <row r="198" spans="1:20" x14ac:dyDescent="0.2">
      <c r="A198" t="s">
        <v>692</v>
      </c>
      <c r="C198" s="139" t="s">
        <v>266</v>
      </c>
      <c r="D198">
        <v>9.7500000000000003E-2</v>
      </c>
      <c r="E198">
        <v>0.10970000000000001</v>
      </c>
      <c r="F198">
        <v>9.9500000000000005E-2</v>
      </c>
      <c r="G198" s="247">
        <f t="shared" si="15"/>
        <v>239.94120029817856</v>
      </c>
      <c r="H198">
        <v>3916578669.4825759</v>
      </c>
      <c r="I198">
        <v>794117647.05882359</v>
      </c>
      <c r="J198">
        <v>794117647.05882359</v>
      </c>
      <c r="K198" s="195">
        <f t="shared" si="16"/>
        <v>3818664.2027455117</v>
      </c>
      <c r="L198" s="195">
        <f t="shared" si="17"/>
        <v>871147.05882352951</v>
      </c>
      <c r="M198" s="195">
        <f t="shared" si="18"/>
        <v>790147.05882352951</v>
      </c>
      <c r="N198" s="195">
        <f t="shared" si="19"/>
        <v>1661294.117647059</v>
      </c>
      <c r="O198" s="243">
        <v>15915</v>
      </c>
      <c r="Q198" s="195"/>
      <c r="R198" s="139"/>
      <c r="S198" s="137"/>
      <c r="T198" s="247"/>
    </row>
    <row r="199" spans="1:20" x14ac:dyDescent="0.2">
      <c r="A199" t="s">
        <v>690</v>
      </c>
      <c r="C199" s="139" t="s">
        <v>469</v>
      </c>
      <c r="D199">
        <v>0.1381</v>
      </c>
      <c r="E199">
        <v>0.2077</v>
      </c>
      <c r="F199">
        <v>0.16669999999999999</v>
      </c>
      <c r="G199" s="247">
        <f t="shared" si="15"/>
        <v>307.92244582686249</v>
      </c>
      <c r="H199">
        <v>2289685442.5749822</v>
      </c>
      <c r="I199">
        <v>699915469.14623833</v>
      </c>
      <c r="J199">
        <v>699915469.14623833</v>
      </c>
      <c r="K199" s="195">
        <f t="shared" si="16"/>
        <v>3162055.5961960508</v>
      </c>
      <c r="L199" s="195">
        <f t="shared" si="17"/>
        <v>1453724.4294167371</v>
      </c>
      <c r="M199" s="195">
        <f t="shared" si="18"/>
        <v>1166759.0870667791</v>
      </c>
      <c r="N199" s="195">
        <f t="shared" si="19"/>
        <v>2620483.5164835164</v>
      </c>
      <c r="O199" s="243">
        <v>10269</v>
      </c>
      <c r="Q199" s="195"/>
      <c r="R199" s="139"/>
      <c r="S199" s="137"/>
      <c r="T199" s="247"/>
    </row>
    <row r="200" spans="1:20" x14ac:dyDescent="0.2">
      <c r="A200" t="s">
        <v>692</v>
      </c>
      <c r="C200" s="139" t="s">
        <v>304</v>
      </c>
      <c r="D200">
        <v>0.13789999999999999</v>
      </c>
      <c r="E200">
        <v>0.13900000000000001</v>
      </c>
      <c r="F200">
        <v>0.1115</v>
      </c>
      <c r="G200" s="247">
        <f t="shared" si="15"/>
        <v>327.09317572460213</v>
      </c>
      <c r="H200">
        <v>1316437364.2288196</v>
      </c>
      <c r="I200">
        <v>302244582.04334366</v>
      </c>
      <c r="J200">
        <v>302244582.04334366</v>
      </c>
      <c r="K200" s="195">
        <f t="shared" si="16"/>
        <v>1815367.125271542</v>
      </c>
      <c r="L200" s="195">
        <f t="shared" si="17"/>
        <v>420119.96904024773</v>
      </c>
      <c r="M200" s="195">
        <f t="shared" si="18"/>
        <v>337002.70897832816</v>
      </c>
      <c r="N200" s="195">
        <f t="shared" si="19"/>
        <v>757122.67801857588</v>
      </c>
      <c r="O200" s="243">
        <v>5550</v>
      </c>
      <c r="Q200" s="195"/>
      <c r="R200" s="139"/>
      <c r="S200" s="137"/>
      <c r="T200" s="247"/>
    </row>
    <row r="201" spans="1:20" x14ac:dyDescent="0.2">
      <c r="A201" t="s">
        <v>698</v>
      </c>
      <c r="C201" s="139" t="s">
        <v>185</v>
      </c>
      <c r="D201">
        <v>0.18279999999999999</v>
      </c>
      <c r="E201">
        <v>0.20860000000000001</v>
      </c>
      <c r="F201">
        <v>0.15970000000000001</v>
      </c>
      <c r="G201" s="247">
        <f t="shared" si="15"/>
        <v>242.60763391198171</v>
      </c>
      <c r="H201">
        <v>621118012.42236018</v>
      </c>
      <c r="I201">
        <v>184023200.63274455</v>
      </c>
      <c r="J201">
        <v>184023200.63274455</v>
      </c>
      <c r="K201" s="195">
        <f t="shared" si="16"/>
        <v>1135403.7267080743</v>
      </c>
      <c r="L201" s="195">
        <f t="shared" si="17"/>
        <v>383872.39651990519</v>
      </c>
      <c r="M201" s="195">
        <f t="shared" si="18"/>
        <v>293885.05141049309</v>
      </c>
      <c r="N201" s="195">
        <f t="shared" si="19"/>
        <v>677757.44793039828</v>
      </c>
      <c r="O201" s="243">
        <v>4680</v>
      </c>
      <c r="Q201" s="195"/>
      <c r="R201" s="139"/>
      <c r="S201" s="137"/>
      <c r="T201" s="247"/>
    </row>
    <row r="202" spans="1:20" x14ac:dyDescent="0.2">
      <c r="A202" t="s">
        <v>695</v>
      </c>
      <c r="C202" s="139" t="s">
        <v>228</v>
      </c>
      <c r="D202">
        <v>0.16669999999999999</v>
      </c>
      <c r="E202">
        <v>0.2394</v>
      </c>
      <c r="F202">
        <v>0.18720000000000001</v>
      </c>
      <c r="G202" s="247">
        <f t="shared" si="15"/>
        <v>306.76694769369499</v>
      </c>
      <c r="H202">
        <v>1827167980.5942998</v>
      </c>
      <c r="I202">
        <v>400328330.206379</v>
      </c>
      <c r="J202">
        <v>400328330.206379</v>
      </c>
      <c r="K202" s="195">
        <f t="shared" si="16"/>
        <v>3045889.0236506974</v>
      </c>
      <c r="L202" s="195">
        <f t="shared" si="17"/>
        <v>958386.02251407132</v>
      </c>
      <c r="M202" s="195">
        <f t="shared" si="18"/>
        <v>749414.63414634159</v>
      </c>
      <c r="N202" s="195">
        <f t="shared" si="19"/>
        <v>1707800.6566604129</v>
      </c>
      <c r="O202" s="243">
        <v>9929</v>
      </c>
      <c r="Q202" s="195"/>
      <c r="R202" s="139"/>
      <c r="S202" s="137"/>
      <c r="T202" s="247"/>
    </row>
    <row r="203" spans="1:20" x14ac:dyDescent="0.2">
      <c r="A203" t="s">
        <v>692</v>
      </c>
      <c r="C203" s="139" t="s">
        <v>267</v>
      </c>
      <c r="D203">
        <v>0.1171</v>
      </c>
      <c r="E203">
        <v>0.26069999999999999</v>
      </c>
      <c r="F203">
        <v>0.21060000000000001</v>
      </c>
      <c r="G203" s="247">
        <f t="shared" si="15"/>
        <v>263.94037967744725</v>
      </c>
      <c r="H203">
        <v>2281021897.8102188</v>
      </c>
      <c r="I203">
        <v>398101126.07639658</v>
      </c>
      <c r="J203">
        <v>398101126.07639658</v>
      </c>
      <c r="K203" s="195">
        <f t="shared" si="16"/>
        <v>2671076.6423357665</v>
      </c>
      <c r="L203" s="195">
        <f t="shared" si="17"/>
        <v>1037849.6356811658</v>
      </c>
      <c r="M203" s="195">
        <f t="shared" si="18"/>
        <v>838400.97151689127</v>
      </c>
      <c r="N203" s="195">
        <f t="shared" si="19"/>
        <v>1876250.6071980572</v>
      </c>
      <c r="O203" s="243">
        <v>10120</v>
      </c>
      <c r="Q203" s="195"/>
      <c r="R203" s="139"/>
      <c r="S203" s="137"/>
      <c r="T203" s="247"/>
    </row>
    <row r="204" spans="1:20" x14ac:dyDescent="0.2">
      <c r="A204" t="s">
        <v>699</v>
      </c>
      <c r="C204" s="139" t="s">
        <v>509</v>
      </c>
      <c r="D204">
        <v>0.1113</v>
      </c>
      <c r="E204">
        <v>0.20219999999999999</v>
      </c>
      <c r="F204">
        <v>0.16839999999999999</v>
      </c>
      <c r="G204" s="247">
        <f t="shared" si="15"/>
        <v>194.53407054835318</v>
      </c>
      <c r="H204">
        <v>2053881278.5388126</v>
      </c>
      <c r="I204">
        <v>466962798.44530821</v>
      </c>
      <c r="J204">
        <v>466962798.44530821</v>
      </c>
      <c r="K204" s="195">
        <f t="shared" si="16"/>
        <v>2285969.8630136983</v>
      </c>
      <c r="L204" s="195">
        <f t="shared" si="17"/>
        <v>944198.77845641319</v>
      </c>
      <c r="M204" s="195">
        <f t="shared" si="18"/>
        <v>786365.35258189903</v>
      </c>
      <c r="N204" s="195">
        <f t="shared" si="19"/>
        <v>1730564.1310383123</v>
      </c>
      <c r="O204" s="243">
        <v>11751</v>
      </c>
      <c r="Q204" s="195"/>
      <c r="R204" s="139"/>
      <c r="S204" s="137"/>
      <c r="T204" s="247"/>
    </row>
    <row r="205" spans="1:20" x14ac:dyDescent="0.2">
      <c r="A205" t="s">
        <v>694</v>
      </c>
      <c r="C205" s="139" t="s">
        <v>393</v>
      </c>
      <c r="D205">
        <v>0.14419999999999999</v>
      </c>
      <c r="E205">
        <v>0.2369</v>
      </c>
      <c r="F205">
        <v>0.16969999999999999</v>
      </c>
      <c r="G205" s="247">
        <f t="shared" si="15"/>
        <v>250.1000400160064</v>
      </c>
      <c r="H205">
        <v>2600554785.0208044</v>
      </c>
      <c r="I205">
        <v>376360415.08478868</v>
      </c>
      <c r="J205">
        <v>376360415.08478868</v>
      </c>
      <c r="K205" s="195">
        <f t="shared" si="16"/>
        <v>3750000</v>
      </c>
      <c r="L205" s="195">
        <f t="shared" si="17"/>
        <v>891597.82333586435</v>
      </c>
      <c r="M205" s="195">
        <f t="shared" si="18"/>
        <v>638683.62439888634</v>
      </c>
      <c r="N205" s="195">
        <f t="shared" si="19"/>
        <v>1530281.4477347508</v>
      </c>
      <c r="O205" s="243">
        <v>14994</v>
      </c>
      <c r="Q205" s="195"/>
      <c r="R205" s="139"/>
      <c r="S205" s="137"/>
      <c r="T205" s="247"/>
    </row>
    <row r="206" spans="1:20" x14ac:dyDescent="0.2">
      <c r="A206" t="s">
        <v>699</v>
      </c>
      <c r="C206" s="139" t="s">
        <v>510</v>
      </c>
      <c r="D206">
        <v>0.13500000000000001</v>
      </c>
      <c r="E206">
        <v>0.247</v>
      </c>
      <c r="F206">
        <v>0.20100000000000001</v>
      </c>
      <c r="G206" s="247">
        <f t="shared" si="15"/>
        <v>204.36724041815066</v>
      </c>
      <c r="H206">
        <v>9676258992.8057556</v>
      </c>
      <c r="I206">
        <v>3644144144.1441441</v>
      </c>
      <c r="J206">
        <v>3644144144.1441441</v>
      </c>
      <c r="K206" s="195">
        <f t="shared" si="16"/>
        <v>13062949.640287772</v>
      </c>
      <c r="L206" s="195">
        <f t="shared" si="17"/>
        <v>9001036.0360360369</v>
      </c>
      <c r="M206" s="195">
        <f t="shared" si="18"/>
        <v>7324729.7297297297</v>
      </c>
      <c r="N206" s="195">
        <f t="shared" si="19"/>
        <v>16325765.765765768</v>
      </c>
      <c r="O206" s="243">
        <v>63919</v>
      </c>
      <c r="Q206" s="195"/>
      <c r="R206" s="139"/>
      <c r="S206" s="137"/>
      <c r="T206" s="247"/>
    </row>
    <row r="207" spans="1:20" x14ac:dyDescent="0.2">
      <c r="A207" t="s">
        <v>698</v>
      </c>
      <c r="C207" s="139" t="s">
        <v>186</v>
      </c>
      <c r="D207">
        <v>0.12529999999999999</v>
      </c>
      <c r="E207">
        <v>0.2034</v>
      </c>
      <c r="F207">
        <v>0.1711</v>
      </c>
      <c r="G207" s="247">
        <f t="shared" si="15"/>
        <v>232.40168075161705</v>
      </c>
      <c r="H207">
        <v>799031476.99757874</v>
      </c>
      <c r="I207">
        <v>172562553.92579809</v>
      </c>
      <c r="J207">
        <v>172562553.92579809</v>
      </c>
      <c r="K207" s="195">
        <f t="shared" si="16"/>
        <v>1001186.4406779662</v>
      </c>
      <c r="L207" s="195">
        <f t="shared" si="17"/>
        <v>350992.23468507326</v>
      </c>
      <c r="M207" s="195">
        <f t="shared" si="18"/>
        <v>295254.52976704051</v>
      </c>
      <c r="N207" s="195">
        <f t="shared" si="19"/>
        <v>646246.76445211377</v>
      </c>
      <c r="O207" s="243">
        <v>4308</v>
      </c>
      <c r="Q207" s="195"/>
      <c r="R207" s="139"/>
      <c r="S207" s="137"/>
      <c r="T207" s="247"/>
    </row>
    <row r="208" spans="1:20" x14ac:dyDescent="0.2">
      <c r="A208" t="s">
        <v>691</v>
      </c>
      <c r="C208" s="139" t="s">
        <v>347</v>
      </c>
      <c r="D208">
        <v>9.5299999999999996E-2</v>
      </c>
      <c r="E208">
        <v>0.14810000000000001</v>
      </c>
      <c r="F208">
        <v>0.11990000000000001</v>
      </c>
      <c r="G208" s="247">
        <f t="shared" si="15"/>
        <v>182.06386413202137</v>
      </c>
      <c r="H208">
        <v>3708333333.3333335</v>
      </c>
      <c r="I208">
        <v>1073057595.6706611</v>
      </c>
      <c r="J208">
        <v>1073057595.6706611</v>
      </c>
      <c r="K208" s="195">
        <f t="shared" si="16"/>
        <v>3534041.666666667</v>
      </c>
      <c r="L208" s="195">
        <f t="shared" si="17"/>
        <v>1589198.299188249</v>
      </c>
      <c r="M208" s="195">
        <f t="shared" si="18"/>
        <v>1286596.0572091227</v>
      </c>
      <c r="N208" s="195">
        <f t="shared" si="19"/>
        <v>2875794.3563973717</v>
      </c>
      <c r="O208" s="243">
        <v>19411</v>
      </c>
      <c r="Q208" s="195"/>
      <c r="R208" s="139"/>
      <c r="S208" s="137"/>
      <c r="T208" s="247"/>
    </row>
    <row r="209" spans="1:20" x14ac:dyDescent="0.2">
      <c r="A209" t="s">
        <v>699</v>
      </c>
      <c r="C209" s="139" t="s">
        <v>511</v>
      </c>
      <c r="D209">
        <v>0.18809999999999999</v>
      </c>
      <c r="E209">
        <v>0.255</v>
      </c>
      <c r="F209">
        <v>0.20030000000000001</v>
      </c>
      <c r="G209" s="247">
        <f t="shared" si="15"/>
        <v>387.6032030777211</v>
      </c>
      <c r="H209">
        <v>1773784355.179704</v>
      </c>
      <c r="I209">
        <v>231036662.45259163</v>
      </c>
      <c r="J209">
        <v>231036662.45259163</v>
      </c>
      <c r="K209" s="195">
        <f t="shared" si="16"/>
        <v>3336488.3720930233</v>
      </c>
      <c r="L209" s="195">
        <f t="shared" si="17"/>
        <v>589143.48925410863</v>
      </c>
      <c r="M209" s="195">
        <f t="shared" si="18"/>
        <v>462766.43489254103</v>
      </c>
      <c r="N209" s="195">
        <f t="shared" si="19"/>
        <v>1051909.9241466497</v>
      </c>
      <c r="O209" s="243">
        <v>8608</v>
      </c>
      <c r="Q209" s="195"/>
      <c r="R209" s="139"/>
      <c r="S209" s="137"/>
      <c r="T209" s="247"/>
    </row>
    <row r="210" spans="1:20" x14ac:dyDescent="0.2">
      <c r="A210" s="115" t="s">
        <v>693</v>
      </c>
      <c r="B210" s="115"/>
      <c r="C210" s="139" t="s">
        <v>208</v>
      </c>
      <c r="D210">
        <v>0.1477</v>
      </c>
      <c r="E210">
        <v>0.22020000000000001</v>
      </c>
      <c r="F210">
        <v>0.1449</v>
      </c>
      <c r="G210" s="247">
        <f t="shared" si="15"/>
        <v>39.461683809668756</v>
      </c>
      <c r="H210">
        <v>892523364.48598135</v>
      </c>
      <c r="I210">
        <v>186363636.36363637</v>
      </c>
      <c r="J210">
        <v>186363636.36363637</v>
      </c>
      <c r="K210" s="195">
        <f t="shared" si="16"/>
        <v>1318257.0093457946</v>
      </c>
      <c r="L210" s="195">
        <f t="shared" si="17"/>
        <v>410372.72727272735</v>
      </c>
      <c r="M210" s="195">
        <f t="shared" si="18"/>
        <v>270040.90909090912</v>
      </c>
      <c r="N210" s="195">
        <f t="shared" si="19"/>
        <v>680413.63636363647</v>
      </c>
      <c r="O210" s="243">
        <v>33406</v>
      </c>
      <c r="Q210" s="195"/>
      <c r="R210" s="139"/>
      <c r="S210" s="137"/>
      <c r="T210" s="247"/>
    </row>
    <row r="211" spans="1:20" x14ac:dyDescent="0.2">
      <c r="A211" t="s">
        <v>690</v>
      </c>
      <c r="C211" s="139" t="s">
        <v>876</v>
      </c>
      <c r="D211">
        <v>0.1275</v>
      </c>
      <c r="E211">
        <v>0.1762</v>
      </c>
      <c r="F211">
        <v>0.14940000000000001</v>
      </c>
      <c r="G211" s="247">
        <f t="shared" si="15"/>
        <v>1728.2488454684317</v>
      </c>
      <c r="H211">
        <v>7986542900</v>
      </c>
      <c r="I211">
        <v>2350049378</v>
      </c>
      <c r="J211">
        <v>2350049378</v>
      </c>
      <c r="K211" s="195">
        <f t="shared" si="16"/>
        <v>10182842.1975</v>
      </c>
      <c r="L211" s="195">
        <f t="shared" si="17"/>
        <v>4140787.004036</v>
      </c>
      <c r="M211" s="195">
        <f t="shared" si="18"/>
        <v>3510973.770732</v>
      </c>
      <c r="N211" s="195">
        <f t="shared" si="19"/>
        <v>7651760.7747680005</v>
      </c>
      <c r="O211" s="195">
        <v>5892</v>
      </c>
    </row>
    <row r="212" spans="1:20" x14ac:dyDescent="0.2">
      <c r="A212" t="s">
        <v>698</v>
      </c>
      <c r="C212" s="139" t="s">
        <v>187</v>
      </c>
      <c r="D212">
        <v>0.17269999999999999</v>
      </c>
      <c r="E212">
        <v>0.32240000000000002</v>
      </c>
      <c r="F212">
        <v>0.25790000000000002</v>
      </c>
      <c r="G212" s="247">
        <f t="shared" si="15"/>
        <v>241.40929759821771</v>
      </c>
      <c r="H212">
        <v>759314015.37551737</v>
      </c>
      <c r="I212">
        <v>243181418.26500088</v>
      </c>
      <c r="J212">
        <v>243181418.26500088</v>
      </c>
      <c r="K212" s="195">
        <f t="shared" si="16"/>
        <v>1311335.3045535185</v>
      </c>
      <c r="L212" s="195">
        <f t="shared" si="17"/>
        <v>784016.89248636295</v>
      </c>
      <c r="M212" s="195">
        <f t="shared" si="18"/>
        <v>627164.87770543736</v>
      </c>
      <c r="N212" s="195">
        <f t="shared" si="19"/>
        <v>1411181.7701918003</v>
      </c>
      <c r="O212" s="243">
        <v>5432</v>
      </c>
      <c r="Q212" s="195"/>
      <c r="R212" s="139"/>
      <c r="S212" s="137"/>
      <c r="T212" s="247"/>
    </row>
    <row r="213" spans="1:20" x14ac:dyDescent="0.2">
      <c r="A213" t="s">
        <v>689</v>
      </c>
      <c r="C213" s="139" t="s">
        <v>167</v>
      </c>
      <c r="D213">
        <v>0.13300000000000001</v>
      </c>
      <c r="E213">
        <v>0.29099999999999998</v>
      </c>
      <c r="F213">
        <v>0.22600000000000001</v>
      </c>
      <c r="G213" s="247">
        <f t="shared" si="15"/>
        <v>227.80179290693198</v>
      </c>
      <c r="H213">
        <v>2635820895.522388</v>
      </c>
      <c r="I213">
        <v>789960629.92125988</v>
      </c>
      <c r="J213">
        <v>789960629.92125988</v>
      </c>
      <c r="K213" s="195">
        <f t="shared" si="16"/>
        <v>3505641.7910447763</v>
      </c>
      <c r="L213" s="195">
        <f t="shared" si="17"/>
        <v>2298785.4330708664</v>
      </c>
      <c r="M213" s="195">
        <f t="shared" si="18"/>
        <v>1785311.0236220474</v>
      </c>
      <c r="N213" s="195">
        <f t="shared" si="19"/>
        <v>4084096.4566929135</v>
      </c>
      <c r="O213" s="243">
        <v>15389</v>
      </c>
      <c r="Q213" s="195"/>
      <c r="R213" s="139"/>
      <c r="S213" s="137"/>
      <c r="T213" s="247"/>
    </row>
    <row r="214" spans="1:20" x14ac:dyDescent="0.2">
      <c r="A214" t="s">
        <v>701</v>
      </c>
      <c r="C214" s="139" t="s">
        <v>425</v>
      </c>
      <c r="D214">
        <v>0.1173</v>
      </c>
      <c r="E214">
        <v>0.24809999999999999</v>
      </c>
      <c r="F214">
        <v>0.1996</v>
      </c>
      <c r="G214" s="247">
        <f t="shared" si="15"/>
        <v>197.70479453528412</v>
      </c>
      <c r="H214">
        <v>3960332103.321033</v>
      </c>
      <c r="I214">
        <v>1105911949.6855347</v>
      </c>
      <c r="J214">
        <v>1105911949.6855347</v>
      </c>
      <c r="K214" s="195">
        <f t="shared" si="16"/>
        <v>4645469.5571955713</v>
      </c>
      <c r="L214" s="195">
        <f t="shared" si="17"/>
        <v>2743767.5471698116</v>
      </c>
      <c r="M214" s="195">
        <f t="shared" si="18"/>
        <v>2207400.2515723272</v>
      </c>
      <c r="N214" s="195">
        <f t="shared" si="19"/>
        <v>4951167.7987421388</v>
      </c>
      <c r="O214" s="243">
        <v>23497</v>
      </c>
      <c r="Q214" s="195"/>
      <c r="R214" s="139"/>
      <c r="S214" s="137"/>
      <c r="T214" s="247"/>
    </row>
    <row r="215" spans="1:20" x14ac:dyDescent="0.2">
      <c r="A215" t="s">
        <v>689</v>
      </c>
      <c r="C215" s="139" t="s">
        <v>394</v>
      </c>
      <c r="D215">
        <v>0.1205</v>
      </c>
      <c r="E215">
        <v>0.22670000000000001</v>
      </c>
      <c r="F215">
        <v>0.16270000000000001</v>
      </c>
      <c r="G215" s="247">
        <f t="shared" si="15"/>
        <v>154.89591849569211</v>
      </c>
      <c r="H215">
        <v>2043983402.4896269</v>
      </c>
      <c r="I215">
        <v>555792845.70208216</v>
      </c>
      <c r="J215">
        <v>555792845.70208216</v>
      </c>
      <c r="K215" s="195">
        <f t="shared" si="16"/>
        <v>2463000.0000000005</v>
      </c>
      <c r="L215" s="195">
        <f t="shared" si="17"/>
        <v>1259982.3812066203</v>
      </c>
      <c r="M215" s="195">
        <f t="shared" si="18"/>
        <v>904274.95995728776</v>
      </c>
      <c r="N215" s="195">
        <f t="shared" si="19"/>
        <v>2164257.3411639081</v>
      </c>
      <c r="O215" s="243">
        <v>15901</v>
      </c>
      <c r="Q215" s="195"/>
      <c r="R215" s="139"/>
      <c r="S215" s="137"/>
      <c r="T215" s="247"/>
    </row>
    <row r="216" spans="1:20" x14ac:dyDescent="0.2">
      <c r="A216" t="s">
        <v>694</v>
      </c>
      <c r="C216" s="139" t="s">
        <v>168</v>
      </c>
      <c r="D216">
        <v>0.1169</v>
      </c>
      <c r="E216">
        <v>0.1971</v>
      </c>
      <c r="F216">
        <v>0.15809999999999999</v>
      </c>
      <c r="G216" s="247">
        <f t="shared" si="15"/>
        <v>417.24475386224674</v>
      </c>
      <c r="H216">
        <v>2751531058.6176729</v>
      </c>
      <c r="I216">
        <v>815895953.75722551</v>
      </c>
      <c r="J216">
        <v>815895953.75722551</v>
      </c>
      <c r="K216" s="195">
        <f t="shared" si="16"/>
        <v>3216539.8075240599</v>
      </c>
      <c r="L216" s="195">
        <f t="shared" si="17"/>
        <v>1608130.9248554916</v>
      </c>
      <c r="M216" s="195">
        <f t="shared" si="18"/>
        <v>1289931.5028901736</v>
      </c>
      <c r="N216" s="195">
        <f t="shared" si="19"/>
        <v>2898062.4277456654</v>
      </c>
      <c r="O216" s="243">
        <v>7709</v>
      </c>
      <c r="Q216" s="195"/>
      <c r="R216" s="139"/>
      <c r="S216" s="137"/>
      <c r="T216" s="247"/>
    </row>
    <row r="217" spans="1:20" x14ac:dyDescent="0.2">
      <c r="A217" t="s">
        <v>699</v>
      </c>
      <c r="C217" s="139" t="s">
        <v>470</v>
      </c>
      <c r="D217">
        <v>0.15529999999999999</v>
      </c>
      <c r="E217">
        <v>0.26100000000000001</v>
      </c>
      <c r="F217">
        <v>0.2099</v>
      </c>
      <c r="G217" s="247">
        <f t="shared" si="15"/>
        <v>363.47264205909721</v>
      </c>
      <c r="H217">
        <v>1046885465.5056933</v>
      </c>
      <c r="I217">
        <v>250878519.63880607</v>
      </c>
      <c r="J217">
        <v>250878519.63880607</v>
      </c>
      <c r="K217" s="195">
        <f t="shared" si="16"/>
        <v>1625813.1279303418</v>
      </c>
      <c r="L217" s="195">
        <f t="shared" si="17"/>
        <v>654792.9362572839</v>
      </c>
      <c r="M217" s="195">
        <f t="shared" si="18"/>
        <v>526594.01272185391</v>
      </c>
      <c r="N217" s="195">
        <f t="shared" si="19"/>
        <v>1181386.9489791379</v>
      </c>
      <c r="O217" s="243">
        <v>4473</v>
      </c>
      <c r="Q217" s="195"/>
      <c r="R217" s="139"/>
      <c r="S217" s="137"/>
      <c r="T217" s="247"/>
    </row>
    <row r="218" spans="1:20" x14ac:dyDescent="0.2">
      <c r="A218" t="s">
        <v>690</v>
      </c>
      <c r="C218" s="139" t="s">
        <v>471</v>
      </c>
      <c r="D218">
        <v>9.6199999999999994E-2</v>
      </c>
      <c r="E218">
        <v>0.26229999999999998</v>
      </c>
      <c r="F218">
        <v>0.21390000000000001</v>
      </c>
      <c r="G218" s="247">
        <f t="shared" si="15"/>
        <v>197.61180945486421</v>
      </c>
      <c r="H218">
        <v>3320987654.3209877</v>
      </c>
      <c r="I218">
        <v>2621819749.8921947</v>
      </c>
      <c r="J218">
        <v>2621819749.8921947</v>
      </c>
      <c r="K218" s="195">
        <f t="shared" si="16"/>
        <v>3194790.1234567896</v>
      </c>
      <c r="L218" s="195">
        <f t="shared" si="17"/>
        <v>6877033.2039672267</v>
      </c>
      <c r="M218" s="195">
        <f t="shared" si="18"/>
        <v>5608072.4450194053</v>
      </c>
      <c r="N218" s="195">
        <f t="shared" si="19"/>
        <v>12485105.648986632</v>
      </c>
      <c r="O218" s="243">
        <v>16167</v>
      </c>
      <c r="Q218" s="195"/>
      <c r="R218" s="139"/>
      <c r="S218" s="137"/>
      <c r="T218" s="247"/>
    </row>
    <row r="219" spans="1:20" x14ac:dyDescent="0.2">
      <c r="A219" t="s">
        <v>694</v>
      </c>
      <c r="C219" s="139" t="s">
        <v>395</v>
      </c>
      <c r="D219">
        <v>0.1108</v>
      </c>
      <c r="E219">
        <v>0.19420000000000001</v>
      </c>
      <c r="F219">
        <v>0.16850000000000001</v>
      </c>
      <c r="G219" s="247">
        <f t="shared" si="15"/>
        <v>250.40854860702242</v>
      </c>
      <c r="H219">
        <v>2499113475.1773052</v>
      </c>
      <c r="I219">
        <v>538029750.21049678</v>
      </c>
      <c r="J219">
        <v>538029750.21049678</v>
      </c>
      <c r="K219" s="195">
        <f t="shared" si="16"/>
        <v>2769017.7304964541</v>
      </c>
      <c r="L219" s="195">
        <f t="shared" si="17"/>
        <v>1044853.7749087848</v>
      </c>
      <c r="M219" s="195">
        <f t="shared" si="18"/>
        <v>906580.12910468713</v>
      </c>
      <c r="N219" s="195">
        <f t="shared" si="19"/>
        <v>1951433.9040134719</v>
      </c>
      <c r="O219" s="243">
        <v>11058</v>
      </c>
      <c r="Q219" s="195"/>
      <c r="R219" s="139"/>
      <c r="S219" s="137"/>
      <c r="T219" s="247"/>
    </row>
    <row r="220" spans="1:20" x14ac:dyDescent="0.2">
      <c r="A220" t="s">
        <v>692</v>
      </c>
      <c r="C220" s="139" t="s">
        <v>268</v>
      </c>
      <c r="D220">
        <v>0.15040000000000001</v>
      </c>
      <c r="E220">
        <v>0.20419999999999999</v>
      </c>
      <c r="F220">
        <v>0.1646</v>
      </c>
      <c r="G220" s="247">
        <f t="shared" si="15"/>
        <v>284.38651336477005</v>
      </c>
      <c r="H220">
        <v>2948051948.0519481</v>
      </c>
      <c r="I220">
        <v>588985349.97287035</v>
      </c>
      <c r="J220">
        <v>588985349.97287035</v>
      </c>
      <c r="K220" s="195">
        <f t="shared" si="16"/>
        <v>4433870.1298701297</v>
      </c>
      <c r="L220" s="195">
        <f t="shared" si="17"/>
        <v>1202708.0846446012</v>
      </c>
      <c r="M220" s="195">
        <f t="shared" si="18"/>
        <v>969469.8860553446</v>
      </c>
      <c r="N220" s="195">
        <f t="shared" si="19"/>
        <v>2172177.9706999459</v>
      </c>
      <c r="O220" s="243">
        <v>15591</v>
      </c>
      <c r="Q220" s="195"/>
      <c r="R220" s="139"/>
      <c r="S220" s="137"/>
      <c r="T220" s="247"/>
    </row>
    <row r="221" spans="1:20" x14ac:dyDescent="0.2">
      <c r="A221" t="s">
        <v>697</v>
      </c>
      <c r="C221" s="139" t="s">
        <v>541</v>
      </c>
      <c r="D221">
        <v>0.14050000000000001</v>
      </c>
      <c r="E221">
        <v>0.32819999999999999</v>
      </c>
      <c r="F221">
        <v>0.2742</v>
      </c>
      <c r="G221" s="247">
        <f t="shared" si="15"/>
        <v>336.24132905780806</v>
      </c>
      <c r="H221">
        <v>1337546468.4014869</v>
      </c>
      <c r="I221">
        <v>209517657.19207582</v>
      </c>
      <c r="J221">
        <v>209517657.19207582</v>
      </c>
      <c r="K221" s="195">
        <f t="shared" si="16"/>
        <v>1879252.7881040892</v>
      </c>
      <c r="L221" s="195">
        <f t="shared" si="17"/>
        <v>687636.95090439275</v>
      </c>
      <c r="M221" s="195">
        <f t="shared" si="18"/>
        <v>574497.41602067184</v>
      </c>
      <c r="N221" s="195">
        <f t="shared" si="19"/>
        <v>1262134.3669250645</v>
      </c>
      <c r="O221" s="243">
        <v>5589</v>
      </c>
      <c r="Q221" s="195"/>
      <c r="R221" s="139"/>
      <c r="S221" s="137"/>
      <c r="T221" s="247"/>
    </row>
    <row r="222" spans="1:20" x14ac:dyDescent="0.2">
      <c r="A222" t="s">
        <v>699</v>
      </c>
      <c r="C222" s="139" t="s">
        <v>512</v>
      </c>
      <c r="D222">
        <v>0.13780000000000001</v>
      </c>
      <c r="E222">
        <v>0.21529999999999999</v>
      </c>
      <c r="F222">
        <v>0.17219999999999999</v>
      </c>
      <c r="G222" s="247">
        <f t="shared" si="15"/>
        <v>350.13947131363955</v>
      </c>
      <c r="H222">
        <v>908888888.88888884</v>
      </c>
      <c r="I222">
        <v>108328940.43226147</v>
      </c>
      <c r="J222">
        <v>108328940.43226147</v>
      </c>
      <c r="K222" s="195">
        <f t="shared" si="16"/>
        <v>1252448.8888888888</v>
      </c>
      <c r="L222" s="195">
        <f t="shared" si="17"/>
        <v>233232.20875065893</v>
      </c>
      <c r="M222" s="195">
        <f t="shared" si="18"/>
        <v>186542.43542435422</v>
      </c>
      <c r="N222" s="195">
        <f t="shared" si="19"/>
        <v>419774.64417501318</v>
      </c>
      <c r="O222" s="243">
        <v>3577</v>
      </c>
      <c r="Q222" s="195"/>
      <c r="R222" s="139"/>
      <c r="S222" s="137"/>
      <c r="T222" s="247"/>
    </row>
    <row r="223" spans="1:20" x14ac:dyDescent="0.2">
      <c r="A223" t="s">
        <v>692</v>
      </c>
      <c r="C223" s="139" t="s">
        <v>269</v>
      </c>
      <c r="D223">
        <v>0.19270000000000001</v>
      </c>
      <c r="E223">
        <v>0.26450000000000001</v>
      </c>
      <c r="F223">
        <v>0.19439999999999999</v>
      </c>
      <c r="G223" s="247">
        <f t="shared" si="15"/>
        <v>379.54870023608396</v>
      </c>
      <c r="H223">
        <v>1691916624.3009658</v>
      </c>
      <c r="I223">
        <v>389881593.11087185</v>
      </c>
      <c r="J223">
        <v>389881593.11087185</v>
      </c>
      <c r="K223" s="195">
        <f t="shared" si="16"/>
        <v>3260323.3350279611</v>
      </c>
      <c r="L223" s="195">
        <f t="shared" si="17"/>
        <v>1031236.8137782561</v>
      </c>
      <c r="M223" s="195">
        <f t="shared" si="18"/>
        <v>757929.81700753479</v>
      </c>
      <c r="N223" s="195">
        <f t="shared" si="19"/>
        <v>1789166.6307857907</v>
      </c>
      <c r="O223" s="243">
        <v>8590</v>
      </c>
      <c r="Q223" s="195"/>
      <c r="R223" s="139"/>
      <c r="S223" s="137"/>
      <c r="T223" s="247"/>
    </row>
    <row r="224" spans="1:20" x14ac:dyDescent="0.2">
      <c r="A224" t="s">
        <v>699</v>
      </c>
      <c r="C224" s="139" t="s">
        <v>513</v>
      </c>
      <c r="D224">
        <v>0.1333</v>
      </c>
      <c r="E224">
        <v>0.24879999999999999</v>
      </c>
      <c r="F224">
        <v>0.19450000000000001</v>
      </c>
      <c r="G224" s="247">
        <f t="shared" si="15"/>
        <v>276.7749259273383</v>
      </c>
      <c r="H224">
        <v>1492051476.1544285</v>
      </c>
      <c r="I224">
        <v>368050828.22781938</v>
      </c>
      <c r="J224">
        <v>368050828.22781938</v>
      </c>
      <c r="K224" s="195">
        <f t="shared" si="16"/>
        <v>1988904.617713853</v>
      </c>
      <c r="L224" s="195">
        <f t="shared" si="17"/>
        <v>915710.46063081454</v>
      </c>
      <c r="M224" s="195">
        <f t="shared" si="18"/>
        <v>715858.86090310873</v>
      </c>
      <c r="N224" s="195">
        <f t="shared" si="19"/>
        <v>1631569.3215339233</v>
      </c>
      <c r="O224" s="243">
        <v>7186</v>
      </c>
      <c r="Q224" s="195"/>
      <c r="R224" s="139"/>
      <c r="S224" s="137"/>
      <c r="T224" s="247"/>
    </row>
    <row r="225" spans="1:20" x14ac:dyDescent="0.2">
      <c r="A225" t="s">
        <v>692</v>
      </c>
      <c r="C225" s="139" t="s">
        <v>270</v>
      </c>
      <c r="D225">
        <v>0.1031</v>
      </c>
      <c r="E225">
        <v>0.22470000000000001</v>
      </c>
      <c r="F225">
        <v>0.1802</v>
      </c>
      <c r="G225" s="247">
        <f t="shared" si="15"/>
        <v>225.3189352307152</v>
      </c>
      <c r="H225">
        <v>1048355899.4197292</v>
      </c>
      <c r="I225">
        <v>220638690.94747952</v>
      </c>
      <c r="J225">
        <v>220638690.94747952</v>
      </c>
      <c r="K225" s="195">
        <f t="shared" si="16"/>
        <v>1080854.9323017409</v>
      </c>
      <c r="L225" s="195">
        <f t="shared" si="17"/>
        <v>495775.13855898648</v>
      </c>
      <c r="M225" s="195">
        <f t="shared" si="18"/>
        <v>397590.92108735809</v>
      </c>
      <c r="N225" s="195">
        <f t="shared" si="19"/>
        <v>893366.05964634451</v>
      </c>
      <c r="O225" s="243">
        <v>4797</v>
      </c>
      <c r="Q225" s="195"/>
      <c r="R225" s="139"/>
      <c r="S225" s="137"/>
      <c r="T225" s="247"/>
    </row>
    <row r="226" spans="1:20" x14ac:dyDescent="0.2">
      <c r="A226" t="s">
        <v>697</v>
      </c>
      <c r="C226" s="139" t="s">
        <v>305</v>
      </c>
      <c r="D226">
        <v>0.1158</v>
      </c>
      <c r="E226">
        <v>0.3422</v>
      </c>
      <c r="F226">
        <v>0.2737</v>
      </c>
      <c r="G226" s="247">
        <f t="shared" si="15"/>
        <v>224.35447664593232</v>
      </c>
      <c r="H226">
        <v>5414150129.4219151</v>
      </c>
      <c r="I226">
        <v>1728671078.5190485</v>
      </c>
      <c r="J226">
        <v>1728671078.5190485</v>
      </c>
      <c r="K226" s="195">
        <f t="shared" si="16"/>
        <v>6269585.8498705784</v>
      </c>
      <c r="L226" s="195">
        <f t="shared" si="17"/>
        <v>5915512.4306921838</v>
      </c>
      <c r="M226" s="195">
        <f t="shared" si="18"/>
        <v>4731372.7419066355</v>
      </c>
      <c r="N226" s="195">
        <f t="shared" si="19"/>
        <v>10646885.17259882</v>
      </c>
      <c r="O226" s="243">
        <v>27945</v>
      </c>
      <c r="Q226" s="195"/>
      <c r="R226" s="139"/>
      <c r="S226" s="137"/>
      <c r="T226" s="247"/>
    </row>
    <row r="227" spans="1:20" x14ac:dyDescent="0.2">
      <c r="A227" t="s">
        <v>697</v>
      </c>
      <c r="C227" s="139" t="s">
        <v>396</v>
      </c>
      <c r="D227">
        <v>0.15190000000000001</v>
      </c>
      <c r="E227">
        <v>0.29930000000000001</v>
      </c>
      <c r="F227">
        <v>0.24110000000000001</v>
      </c>
      <c r="G227" s="247">
        <f t="shared" si="15"/>
        <v>386.82972281576303</v>
      </c>
      <c r="H227">
        <v>2916120576.6710353</v>
      </c>
      <c r="I227">
        <v>571806500.37792897</v>
      </c>
      <c r="J227">
        <v>571806500.37792897</v>
      </c>
      <c r="K227" s="195">
        <f t="shared" si="16"/>
        <v>4429587.1559633026</v>
      </c>
      <c r="L227" s="195">
        <f t="shared" si="17"/>
        <v>1711416.8556311415</v>
      </c>
      <c r="M227" s="195">
        <f t="shared" si="18"/>
        <v>1378625.4724111867</v>
      </c>
      <c r="N227" s="195">
        <f t="shared" si="19"/>
        <v>3090042.3280423284</v>
      </c>
      <c r="O227" s="243">
        <v>11451</v>
      </c>
      <c r="Q227" s="195"/>
      <c r="R227" s="139"/>
      <c r="S227" s="137"/>
      <c r="T227" s="247"/>
    </row>
    <row r="228" spans="1:20" x14ac:dyDescent="0.2">
      <c r="A228" t="s">
        <v>692</v>
      </c>
      <c r="C228" s="139" t="s">
        <v>271</v>
      </c>
      <c r="D228">
        <v>0.1187</v>
      </c>
      <c r="E228">
        <v>0.20030000000000001</v>
      </c>
      <c r="F228">
        <v>0.14879999999999999</v>
      </c>
      <c r="G228" s="247">
        <f t="shared" si="15"/>
        <v>305.08572390545851</v>
      </c>
      <c r="H228">
        <v>4172760511.882998</v>
      </c>
      <c r="I228">
        <v>1118568232.6621926</v>
      </c>
      <c r="J228">
        <v>1118568232.6621926</v>
      </c>
      <c r="K228" s="195">
        <f t="shared" si="16"/>
        <v>4953066.7276051184</v>
      </c>
      <c r="L228" s="195">
        <f t="shared" si="17"/>
        <v>2240492.1700223717</v>
      </c>
      <c r="M228" s="195">
        <f t="shared" si="18"/>
        <v>1664429.5302013424</v>
      </c>
      <c r="N228" s="195">
        <f t="shared" si="19"/>
        <v>3904921.7002237141</v>
      </c>
      <c r="O228" s="243">
        <v>16235</v>
      </c>
      <c r="Q228" s="195"/>
      <c r="R228" s="139"/>
      <c r="S228" s="137"/>
      <c r="T228" s="247"/>
    </row>
    <row r="229" spans="1:20" x14ac:dyDescent="0.2">
      <c r="A229" t="s">
        <v>692</v>
      </c>
      <c r="C229" s="139" t="s">
        <v>272</v>
      </c>
      <c r="D229">
        <v>0.2636</v>
      </c>
      <c r="E229">
        <v>0.59470000000000001</v>
      </c>
      <c r="F229">
        <v>0.24660000000000001</v>
      </c>
      <c r="G229" s="247">
        <f t="shared" si="15"/>
        <v>437.77210763002643</v>
      </c>
      <c r="H229">
        <v>14006216328.222132</v>
      </c>
      <c r="I229">
        <v>4641525953.7210751</v>
      </c>
      <c r="J229">
        <v>4641525953.7210751</v>
      </c>
      <c r="K229" s="195">
        <f t="shared" si="16"/>
        <v>36920386.24119354</v>
      </c>
      <c r="L229" s="195">
        <f t="shared" si="17"/>
        <v>27603154.846779231</v>
      </c>
      <c r="M229" s="195">
        <f t="shared" si="18"/>
        <v>11446003.00187617</v>
      </c>
      <c r="N229" s="195">
        <f t="shared" si="19"/>
        <v>39049157.848655403</v>
      </c>
      <c r="O229" s="243">
        <v>84337</v>
      </c>
      <c r="Q229" s="195"/>
      <c r="R229" s="139"/>
      <c r="S229" s="137"/>
      <c r="T229" s="247"/>
    </row>
    <row r="230" spans="1:20" x14ac:dyDescent="0.2">
      <c r="A230" t="s">
        <v>694</v>
      </c>
      <c r="C230" s="139" t="s">
        <v>596</v>
      </c>
      <c r="D230">
        <v>0.1439</v>
      </c>
      <c r="E230">
        <v>0.27410000000000001</v>
      </c>
      <c r="F230">
        <v>0.22450000000000001</v>
      </c>
      <c r="G230" s="247">
        <f t="shared" si="15"/>
        <v>231.87075126494975</v>
      </c>
      <c r="H230">
        <v>6318195988.7768888</v>
      </c>
      <c r="I230">
        <v>1277126163.8898675</v>
      </c>
      <c r="J230">
        <v>1277126163.8898675</v>
      </c>
      <c r="K230" s="195">
        <f t="shared" si="16"/>
        <v>9091884.0278499443</v>
      </c>
      <c r="L230" s="195">
        <f t="shared" si="17"/>
        <v>3500602.8152221269</v>
      </c>
      <c r="M230" s="195">
        <f t="shared" si="18"/>
        <v>2867148.2379327528</v>
      </c>
      <c r="N230" s="195">
        <f t="shared" si="19"/>
        <v>6367751.0531548802</v>
      </c>
      <c r="O230" s="243">
        <v>39211</v>
      </c>
      <c r="Q230" s="195"/>
      <c r="R230" s="139"/>
      <c r="S230" s="137"/>
      <c r="T230" s="247"/>
    </row>
    <row r="231" spans="1:20" x14ac:dyDescent="0.2">
      <c r="A231" t="s">
        <v>701</v>
      </c>
      <c r="C231" s="139" t="s">
        <v>426</v>
      </c>
      <c r="D231">
        <v>0.1323</v>
      </c>
      <c r="E231">
        <v>0.12759999999999999</v>
      </c>
      <c r="F231">
        <v>0.1212</v>
      </c>
      <c r="G231" s="247">
        <f t="shared" si="15"/>
        <v>244.81306155499152</v>
      </c>
      <c r="H231">
        <v>1102861562.2583139</v>
      </c>
      <c r="I231">
        <v>269644334.16046321</v>
      </c>
      <c r="J231">
        <v>269644334.16046321</v>
      </c>
      <c r="K231" s="195">
        <f t="shared" si="16"/>
        <v>1459085.8468677495</v>
      </c>
      <c r="L231" s="195">
        <f t="shared" si="17"/>
        <v>344066.17038875102</v>
      </c>
      <c r="M231" s="195">
        <f t="shared" si="18"/>
        <v>326808.93300248141</v>
      </c>
      <c r="N231" s="195">
        <f t="shared" si="19"/>
        <v>670875.10339123243</v>
      </c>
      <c r="O231" s="243">
        <v>5960</v>
      </c>
      <c r="Q231" s="195"/>
      <c r="R231" s="139"/>
      <c r="S231" s="137"/>
      <c r="T231" s="247"/>
    </row>
    <row r="232" spans="1:20" x14ac:dyDescent="0.2">
      <c r="A232" t="s">
        <v>689</v>
      </c>
      <c r="C232" s="139" t="s">
        <v>169</v>
      </c>
      <c r="D232">
        <v>0.1227</v>
      </c>
      <c r="E232">
        <v>0.13235</v>
      </c>
      <c r="F232">
        <v>0.12812000000000001</v>
      </c>
      <c r="G232" s="247">
        <f t="shared" si="15"/>
        <v>241.01798368401759</v>
      </c>
      <c r="H232">
        <v>2873162222.7759781</v>
      </c>
      <c r="I232">
        <v>783554643.64523232</v>
      </c>
      <c r="J232">
        <v>783554643.64523232</v>
      </c>
      <c r="K232" s="195">
        <f t="shared" si="16"/>
        <v>3525370.0473461254</v>
      </c>
      <c r="L232" s="195">
        <f t="shared" si="17"/>
        <v>1037034.570864465</v>
      </c>
      <c r="M232" s="195">
        <f t="shared" si="18"/>
        <v>1003890.2094382717</v>
      </c>
      <c r="N232" s="195">
        <f t="shared" si="19"/>
        <v>2040924.7803027367</v>
      </c>
      <c r="O232" s="243">
        <v>14627</v>
      </c>
      <c r="Q232" s="195"/>
      <c r="R232" s="139"/>
      <c r="S232" s="137"/>
      <c r="T232" s="247"/>
    </row>
    <row r="233" spans="1:20" x14ac:dyDescent="0.2">
      <c r="A233" t="s">
        <v>696</v>
      </c>
      <c r="C233" s="139" t="s">
        <v>532</v>
      </c>
      <c r="D233">
        <v>0.1565</v>
      </c>
      <c r="E233">
        <v>0.1883</v>
      </c>
      <c r="F233">
        <v>0.14910000000000001</v>
      </c>
      <c r="G233" s="247">
        <f t="shared" si="15"/>
        <v>249.08316875926317</v>
      </c>
      <c r="H233">
        <v>3150225660.8639588</v>
      </c>
      <c r="I233">
        <v>1615602390.6888957</v>
      </c>
      <c r="J233">
        <v>1615602390.6888957</v>
      </c>
      <c r="K233" s="195">
        <f t="shared" si="16"/>
        <v>4930103.159252096</v>
      </c>
      <c r="L233" s="195">
        <f t="shared" si="17"/>
        <v>3042179.3016671906</v>
      </c>
      <c r="M233" s="195">
        <f t="shared" si="18"/>
        <v>2408863.1645171437</v>
      </c>
      <c r="N233" s="195">
        <f t="shared" si="19"/>
        <v>5451042.4661843348</v>
      </c>
      <c r="O233" s="243">
        <v>19793</v>
      </c>
      <c r="Q233" s="195"/>
      <c r="R233" s="139"/>
      <c r="S233" s="137"/>
      <c r="T233" s="247"/>
    </row>
    <row r="234" spans="1:20" x14ac:dyDescent="0.2">
      <c r="A234" t="s">
        <v>694</v>
      </c>
      <c r="C234" s="139" t="s">
        <v>397</v>
      </c>
      <c r="D234">
        <v>0.122</v>
      </c>
      <c r="E234">
        <v>0.14549999999999999</v>
      </c>
      <c r="F234">
        <v>0.11</v>
      </c>
      <c r="G234" s="247">
        <f t="shared" si="15"/>
        <v>345.62498807848692</v>
      </c>
      <c r="H234">
        <v>3940408163.2653065</v>
      </c>
      <c r="I234">
        <v>782933543.05937874</v>
      </c>
      <c r="J234">
        <v>782933543.05937874</v>
      </c>
      <c r="K234" s="195">
        <f t="shared" si="16"/>
        <v>4807297.9591836743</v>
      </c>
      <c r="L234" s="195">
        <f t="shared" si="17"/>
        <v>1139168.305151396</v>
      </c>
      <c r="M234" s="195">
        <f t="shared" si="18"/>
        <v>861226.89736531663</v>
      </c>
      <c r="N234" s="195">
        <f t="shared" si="19"/>
        <v>2000395.2025167127</v>
      </c>
      <c r="O234" s="243">
        <v>13909</v>
      </c>
      <c r="Q234" s="195"/>
      <c r="R234" s="139"/>
      <c r="S234" s="137"/>
      <c r="T234" s="247"/>
    </row>
    <row r="235" spans="1:20" x14ac:dyDescent="0.2">
      <c r="A235" t="s">
        <v>694</v>
      </c>
      <c r="C235" s="139" t="s">
        <v>398</v>
      </c>
      <c r="D235">
        <v>8.8099999999999998E-2</v>
      </c>
      <c r="E235">
        <v>0.1719</v>
      </c>
      <c r="F235">
        <v>0.13800000000000001</v>
      </c>
      <c r="G235" s="247">
        <f t="shared" si="15"/>
        <v>207.81193577636867</v>
      </c>
      <c r="H235">
        <v>1771001150.7479861</v>
      </c>
      <c r="I235">
        <v>358213716.10845298</v>
      </c>
      <c r="J235">
        <v>358213716.10845298</v>
      </c>
      <c r="K235" s="195">
        <f t="shared" si="16"/>
        <v>1560252.0138089759</v>
      </c>
      <c r="L235" s="195">
        <f t="shared" si="17"/>
        <v>615769.37799043069</v>
      </c>
      <c r="M235" s="195">
        <f t="shared" si="18"/>
        <v>494334.92822966515</v>
      </c>
      <c r="N235" s="195">
        <f t="shared" si="19"/>
        <v>1110104.3062200958</v>
      </c>
      <c r="O235" s="243">
        <v>7508</v>
      </c>
      <c r="Q235" s="195"/>
      <c r="R235" s="139"/>
      <c r="S235" s="137"/>
      <c r="T235" s="247"/>
    </row>
    <row r="236" spans="1:20" x14ac:dyDescent="0.2">
      <c r="A236" t="s">
        <v>690</v>
      </c>
      <c r="C236" s="139" t="s">
        <v>536</v>
      </c>
      <c r="D236">
        <v>0.16983000000000001</v>
      </c>
      <c r="E236">
        <v>0.24761</v>
      </c>
      <c r="F236">
        <v>0.19878999999999999</v>
      </c>
      <c r="G236" s="247">
        <f t="shared" si="15"/>
        <v>473.85801360573396</v>
      </c>
      <c r="H236">
        <v>2804978278.7366447</v>
      </c>
      <c r="I236">
        <v>362310558.43829286</v>
      </c>
      <c r="J236">
        <v>362310558.43829286</v>
      </c>
      <c r="K236" s="195">
        <f t="shared" si="16"/>
        <v>4763694.6107784435</v>
      </c>
      <c r="L236" s="195">
        <f t="shared" si="17"/>
        <v>897117.17374905688</v>
      </c>
      <c r="M236" s="195">
        <f t="shared" si="18"/>
        <v>720237.15911948238</v>
      </c>
      <c r="N236" s="195">
        <f t="shared" si="19"/>
        <v>1617354.3328685393</v>
      </c>
      <c r="O236" s="243">
        <v>10053</v>
      </c>
      <c r="Q236" s="195"/>
      <c r="R236" s="139"/>
      <c r="S236" s="137"/>
      <c r="T236" s="247"/>
    </row>
    <row r="237" spans="1:20" x14ac:dyDescent="0.2">
      <c r="A237" t="s">
        <v>692</v>
      </c>
      <c r="C237" s="139" t="s">
        <v>273</v>
      </c>
      <c r="D237">
        <v>8.7999999999999995E-2</v>
      </c>
      <c r="E237">
        <v>0.161</v>
      </c>
      <c r="F237">
        <v>0.13</v>
      </c>
      <c r="G237" s="247">
        <f t="shared" si="15"/>
        <v>173.54227777828351</v>
      </c>
      <c r="H237">
        <v>2566059225.5125284</v>
      </c>
      <c r="I237">
        <v>528671328.6713286</v>
      </c>
      <c r="J237">
        <v>528671328.6713286</v>
      </c>
      <c r="K237" s="195">
        <f t="shared" si="16"/>
        <v>2258132.1184510249</v>
      </c>
      <c r="L237" s="195">
        <f t="shared" si="17"/>
        <v>851160.83916083898</v>
      </c>
      <c r="M237" s="195">
        <f t="shared" si="18"/>
        <v>687272.72727272718</v>
      </c>
      <c r="N237" s="195">
        <f t="shared" si="19"/>
        <v>1538433.5664335662</v>
      </c>
      <c r="O237" s="243">
        <v>13012</v>
      </c>
      <c r="Q237" s="195"/>
      <c r="R237" s="139"/>
      <c r="S237" s="137"/>
      <c r="T237" s="247"/>
    </row>
    <row r="238" spans="1:20" x14ac:dyDescent="0.2">
      <c r="A238" s="97" t="s">
        <v>699</v>
      </c>
      <c r="B238" s="97"/>
      <c r="C238" s="139" t="s">
        <v>514</v>
      </c>
      <c r="D238">
        <v>0.15379999999999999</v>
      </c>
      <c r="E238">
        <v>0.27760000000000001</v>
      </c>
      <c r="F238">
        <v>0.22819999999999999</v>
      </c>
      <c r="G238" s="247">
        <f t="shared" si="15"/>
        <v>289.42722657810032</v>
      </c>
      <c r="H238">
        <v>1325192802.0565555</v>
      </c>
      <c r="I238">
        <v>201480592.23689473</v>
      </c>
      <c r="J238">
        <v>201480592.23689473</v>
      </c>
      <c r="K238" s="195">
        <f t="shared" si="16"/>
        <v>2038146.5295629823</v>
      </c>
      <c r="L238" s="195">
        <f t="shared" si="17"/>
        <v>559310.12404961977</v>
      </c>
      <c r="M238" s="195">
        <f t="shared" si="18"/>
        <v>459778.71148459375</v>
      </c>
      <c r="N238" s="195">
        <f t="shared" si="19"/>
        <v>1019088.8355342136</v>
      </c>
      <c r="O238" s="243">
        <v>7042</v>
      </c>
      <c r="Q238" s="195"/>
      <c r="R238" s="139"/>
      <c r="S238" s="137"/>
      <c r="T238" s="247"/>
    </row>
    <row r="239" spans="1:20" x14ac:dyDescent="0.2">
      <c r="A239" t="s">
        <v>694</v>
      </c>
      <c r="C239" s="139" t="s">
        <v>399</v>
      </c>
      <c r="D239">
        <v>0.12790000000000001</v>
      </c>
      <c r="E239">
        <v>0.22170000000000001</v>
      </c>
      <c r="F239">
        <v>0.2054</v>
      </c>
      <c r="G239" s="247">
        <f t="shared" si="15"/>
        <v>382.38981788392317</v>
      </c>
      <c r="H239">
        <v>3161966156.3255439</v>
      </c>
      <c r="I239">
        <v>442473633.74880153</v>
      </c>
      <c r="J239">
        <v>442473633.74880153</v>
      </c>
      <c r="K239" s="195">
        <f t="shared" si="16"/>
        <v>4044154.7139403713</v>
      </c>
      <c r="L239" s="195">
        <f t="shared" si="17"/>
        <v>980964.04602109303</v>
      </c>
      <c r="M239" s="195">
        <f t="shared" si="18"/>
        <v>908840.84372003842</v>
      </c>
      <c r="N239" s="195">
        <f t="shared" si="19"/>
        <v>1889804.8897411316</v>
      </c>
      <c r="O239" s="243">
        <v>10576</v>
      </c>
      <c r="Q239" s="195"/>
      <c r="R239" s="139"/>
      <c r="S239" s="137"/>
      <c r="T239" s="247"/>
    </row>
    <row r="240" spans="1:20" x14ac:dyDescent="0.2">
      <c r="A240" t="s">
        <v>690</v>
      </c>
      <c r="C240" s="139" t="s">
        <v>472</v>
      </c>
      <c r="D240">
        <v>0.13539999999999999</v>
      </c>
      <c r="E240">
        <v>0.2447</v>
      </c>
      <c r="F240">
        <v>0.1968</v>
      </c>
      <c r="G240" s="247">
        <f t="shared" si="15"/>
        <v>371.39946949351224</v>
      </c>
      <c r="H240">
        <v>2074515648.28614</v>
      </c>
      <c r="I240">
        <v>668175321.58170569</v>
      </c>
      <c r="J240">
        <v>668175321.58170569</v>
      </c>
      <c r="K240" s="195">
        <f t="shared" si="16"/>
        <v>2808894.1877794331</v>
      </c>
      <c r="L240" s="195">
        <f t="shared" si="17"/>
        <v>1635025.0119104339</v>
      </c>
      <c r="M240" s="195">
        <f t="shared" si="18"/>
        <v>1314969.0328727968</v>
      </c>
      <c r="N240" s="195">
        <f t="shared" si="19"/>
        <v>2949994.0447832309</v>
      </c>
      <c r="O240" s="243">
        <v>7563</v>
      </c>
      <c r="Q240" s="195"/>
      <c r="R240" s="139"/>
      <c r="S240" s="137"/>
      <c r="T240" s="247"/>
    </row>
    <row r="241" spans="1:20" x14ac:dyDescent="0.2">
      <c r="A241" t="s">
        <v>690</v>
      </c>
      <c r="C241" s="139" t="s">
        <v>473</v>
      </c>
      <c r="D241">
        <v>0.1197</v>
      </c>
      <c r="E241">
        <v>0.16689999999999999</v>
      </c>
      <c r="F241">
        <v>0.1457</v>
      </c>
      <c r="G241" s="247">
        <f t="shared" si="15"/>
        <v>316.75411208034251</v>
      </c>
      <c r="H241">
        <v>3323404255.319149</v>
      </c>
      <c r="I241">
        <v>613725490.19607842</v>
      </c>
      <c r="J241">
        <v>613725490.19607842</v>
      </c>
      <c r="K241" s="195">
        <f t="shared" si="16"/>
        <v>3978114.8936170214</v>
      </c>
      <c r="L241" s="195">
        <f t="shared" si="17"/>
        <v>1024307.8431372548</v>
      </c>
      <c r="M241" s="195">
        <f t="shared" si="18"/>
        <v>894198.03921568615</v>
      </c>
      <c r="N241" s="195">
        <f t="shared" si="19"/>
        <v>1918505.882352941</v>
      </c>
      <c r="O241" s="243">
        <v>12559</v>
      </c>
      <c r="Q241" s="195"/>
      <c r="R241" s="139"/>
      <c r="S241" s="115"/>
      <c r="T241" s="247"/>
    </row>
    <row r="242" spans="1:20" x14ac:dyDescent="0.2">
      <c r="A242" t="s">
        <v>698</v>
      </c>
      <c r="C242" s="139" t="s">
        <v>188</v>
      </c>
      <c r="D242">
        <v>0.26319999999999999</v>
      </c>
      <c r="E242">
        <v>0.46739999999999998</v>
      </c>
      <c r="F242">
        <v>0.3629</v>
      </c>
      <c r="G242" s="247">
        <f t="shared" si="15"/>
        <v>326.09541832003936</v>
      </c>
      <c r="H242">
        <v>2300632911.392405</v>
      </c>
      <c r="I242">
        <v>839878002.28745711</v>
      </c>
      <c r="J242">
        <v>839878002.28745711</v>
      </c>
      <c r="K242" s="195">
        <f t="shared" si="16"/>
        <v>6055265.8227848103</v>
      </c>
      <c r="L242" s="195">
        <f t="shared" si="17"/>
        <v>3925589.7826915742</v>
      </c>
      <c r="M242" s="195">
        <f t="shared" si="18"/>
        <v>3047917.2703011818</v>
      </c>
      <c r="N242" s="195">
        <f t="shared" si="19"/>
        <v>6973507.0529927555</v>
      </c>
      <c r="O242" s="243">
        <v>18569</v>
      </c>
      <c r="Q242" s="195"/>
      <c r="R242" s="139"/>
      <c r="S242" s="137"/>
      <c r="T242" s="247"/>
    </row>
    <row r="243" spans="1:20" x14ac:dyDescent="0.2">
      <c r="A243" t="s">
        <v>692</v>
      </c>
      <c r="C243" s="139" t="s">
        <v>274</v>
      </c>
      <c r="D243">
        <v>0.1331</v>
      </c>
      <c r="E243">
        <v>0.24199999999999999</v>
      </c>
      <c r="F243">
        <v>0.1842</v>
      </c>
      <c r="G243" s="247">
        <f t="shared" si="15"/>
        <v>283.57271477652387</v>
      </c>
      <c r="H243">
        <v>2061068702.2900765</v>
      </c>
      <c r="I243">
        <v>488434380.32627225</v>
      </c>
      <c r="J243">
        <v>488434380.32627225</v>
      </c>
      <c r="K243" s="195">
        <f t="shared" si="16"/>
        <v>2743282.4427480916</v>
      </c>
      <c r="L243" s="195">
        <f t="shared" si="17"/>
        <v>1182011.2003895787</v>
      </c>
      <c r="M243" s="195">
        <f t="shared" si="18"/>
        <v>899696.12856099347</v>
      </c>
      <c r="N243" s="195">
        <f t="shared" si="19"/>
        <v>2081707.3289505723</v>
      </c>
      <c r="O243" s="243">
        <v>9674</v>
      </c>
      <c r="Q243" s="195"/>
      <c r="R243" s="139"/>
      <c r="S243" s="137"/>
      <c r="T243" s="247"/>
    </row>
    <row r="244" spans="1:20" x14ac:dyDescent="0.2">
      <c r="A244" t="s">
        <v>695</v>
      </c>
      <c r="C244" s="139" t="s">
        <v>229</v>
      </c>
      <c r="D244">
        <v>0.12211</v>
      </c>
      <c r="E244">
        <v>0.25586999999999999</v>
      </c>
      <c r="F244">
        <v>0.20435</v>
      </c>
      <c r="G244" s="247">
        <f t="shared" si="15"/>
        <v>235.2392323228365</v>
      </c>
      <c r="H244">
        <v>2773900340.8537574</v>
      </c>
      <c r="I244">
        <v>751427042.45451307</v>
      </c>
      <c r="J244">
        <v>751427042.45451307</v>
      </c>
      <c r="K244" s="195">
        <f t="shared" si="16"/>
        <v>3387209.706216523</v>
      </c>
      <c r="L244" s="195">
        <f t="shared" si="17"/>
        <v>1922676.3735283625</v>
      </c>
      <c r="M244" s="195">
        <f t="shared" si="18"/>
        <v>1535541.1612557974</v>
      </c>
      <c r="N244" s="195">
        <f t="shared" si="19"/>
        <v>3458217.5347841596</v>
      </c>
      <c r="O244" s="243">
        <v>14399</v>
      </c>
      <c r="Q244" s="195"/>
      <c r="R244" s="139"/>
      <c r="S244" s="137"/>
      <c r="T244" s="247"/>
    </row>
    <row r="245" spans="1:20" x14ac:dyDescent="0.2">
      <c r="A245" t="s">
        <v>695</v>
      </c>
      <c r="C245" s="139" t="s">
        <v>230</v>
      </c>
      <c r="D245">
        <v>0.17630000000000001</v>
      </c>
      <c r="E245">
        <v>0.26600000000000001</v>
      </c>
      <c r="F245">
        <v>0.20880000000000001</v>
      </c>
      <c r="G245" s="247">
        <f t="shared" si="15"/>
        <v>351.46642827763935</v>
      </c>
      <c r="H245">
        <v>1532258064.516129</v>
      </c>
      <c r="I245">
        <v>331887201.73535794</v>
      </c>
      <c r="J245">
        <v>331887201.73535794</v>
      </c>
      <c r="K245" s="195">
        <f t="shared" si="16"/>
        <v>2701370.967741936</v>
      </c>
      <c r="L245" s="195">
        <f t="shared" si="17"/>
        <v>882819.95661605219</v>
      </c>
      <c r="M245" s="195">
        <f t="shared" si="18"/>
        <v>692980.4772234275</v>
      </c>
      <c r="N245" s="195">
        <f t="shared" si="19"/>
        <v>1575800.4338394797</v>
      </c>
      <c r="O245" s="243">
        <v>7686</v>
      </c>
      <c r="Q245" s="195"/>
      <c r="R245" s="139"/>
      <c r="S245" s="137"/>
      <c r="T245" s="247"/>
    </row>
    <row r="246" spans="1:20" x14ac:dyDescent="0.2">
      <c r="A246" t="s">
        <v>695</v>
      </c>
      <c r="C246" s="139" t="s">
        <v>231</v>
      </c>
      <c r="D246">
        <v>0.1031</v>
      </c>
      <c r="E246">
        <v>0.14610000000000001</v>
      </c>
      <c r="F246">
        <v>0.1066</v>
      </c>
      <c r="G246" s="247">
        <f t="shared" si="15"/>
        <v>203.49346103780132</v>
      </c>
      <c r="H246">
        <v>1632487309.64467</v>
      </c>
      <c r="I246">
        <v>546264855.6876061</v>
      </c>
      <c r="J246">
        <v>546264855.6876061</v>
      </c>
      <c r="K246" s="195">
        <f t="shared" si="16"/>
        <v>1683094.4162436547</v>
      </c>
      <c r="L246" s="195">
        <f t="shared" si="17"/>
        <v>798092.95415959251</v>
      </c>
      <c r="M246" s="195">
        <f t="shared" si="18"/>
        <v>582318.3361629881</v>
      </c>
      <c r="N246" s="195">
        <f t="shared" si="19"/>
        <v>1380411.2903225806</v>
      </c>
      <c r="O246" s="243">
        <v>8271</v>
      </c>
      <c r="Q246" s="195"/>
      <c r="R246" s="139"/>
      <c r="S246" s="137"/>
      <c r="T246" s="247"/>
    </row>
    <row r="247" spans="1:20" x14ac:dyDescent="0.2">
      <c r="A247" t="s">
        <v>699</v>
      </c>
      <c r="C247" s="139" t="s">
        <v>515</v>
      </c>
      <c r="D247">
        <v>0.18565400000000001</v>
      </c>
      <c r="E247">
        <v>0.18565400000000001</v>
      </c>
      <c r="F247">
        <v>0.124681</v>
      </c>
      <c r="G247" s="247">
        <f t="shared" si="15"/>
        <v>291.70058262835767</v>
      </c>
      <c r="H247">
        <v>581031787.3892653</v>
      </c>
      <c r="I247">
        <v>80536912.751677871</v>
      </c>
      <c r="J247">
        <v>80536912.751677871</v>
      </c>
      <c r="K247" s="195">
        <f t="shared" si="16"/>
        <v>1078708.7545596666</v>
      </c>
      <c r="L247" s="195">
        <f t="shared" si="17"/>
        <v>149520.00000000003</v>
      </c>
      <c r="M247" s="195">
        <f t="shared" si="18"/>
        <v>100414.22818791948</v>
      </c>
      <c r="N247" s="195">
        <f t="shared" si="19"/>
        <v>249934.22818791951</v>
      </c>
      <c r="O247" s="243">
        <v>3698</v>
      </c>
      <c r="Q247" s="195"/>
      <c r="R247" s="139"/>
      <c r="S247" s="137"/>
      <c r="T247" s="247"/>
    </row>
    <row r="248" spans="1:20" x14ac:dyDescent="0.2">
      <c r="A248" t="s">
        <v>692</v>
      </c>
      <c r="C248" s="139" t="s">
        <v>275</v>
      </c>
      <c r="D248">
        <v>0.1283</v>
      </c>
      <c r="E248">
        <v>0.1545</v>
      </c>
      <c r="F248">
        <v>0.14749999999999999</v>
      </c>
      <c r="G248" s="247">
        <f t="shared" si="15"/>
        <v>226.19703780032793</v>
      </c>
      <c r="H248">
        <v>2362992125.984252</v>
      </c>
      <c r="I248">
        <v>820066889.63210702</v>
      </c>
      <c r="J248">
        <v>820066889.63210702</v>
      </c>
      <c r="K248" s="195">
        <f t="shared" si="16"/>
        <v>3031718.8976377952</v>
      </c>
      <c r="L248" s="195">
        <f t="shared" si="17"/>
        <v>1267003.3444816053</v>
      </c>
      <c r="M248" s="195">
        <f t="shared" si="18"/>
        <v>1209598.6622073578</v>
      </c>
      <c r="N248" s="195">
        <f t="shared" si="19"/>
        <v>2476602.0066889632</v>
      </c>
      <c r="O248" s="243">
        <v>13403</v>
      </c>
      <c r="Q248" s="195"/>
      <c r="R248" s="139"/>
      <c r="S248" s="137"/>
      <c r="T248" s="247"/>
    </row>
    <row r="249" spans="1:20" x14ac:dyDescent="0.2">
      <c r="A249" t="s">
        <v>690</v>
      </c>
      <c r="C249" s="139" t="s">
        <v>474</v>
      </c>
      <c r="D249">
        <v>0.1207</v>
      </c>
      <c r="E249">
        <v>0.184</v>
      </c>
      <c r="F249">
        <v>0.14649999999999999</v>
      </c>
      <c r="G249" s="247">
        <f t="shared" si="15"/>
        <v>238.04650344307012</v>
      </c>
      <c r="H249">
        <v>4941979522.1843004</v>
      </c>
      <c r="I249">
        <v>1627996164.908917</v>
      </c>
      <c r="J249">
        <v>1627996164.908917</v>
      </c>
      <c r="K249" s="195">
        <f t="shared" si="16"/>
        <v>5964969.2832764508</v>
      </c>
      <c r="L249" s="195">
        <f t="shared" si="17"/>
        <v>2995512.9434324075</v>
      </c>
      <c r="M249" s="195">
        <f t="shared" si="18"/>
        <v>2385014.3815915631</v>
      </c>
      <c r="N249" s="195">
        <f t="shared" si="19"/>
        <v>5380527.3250239706</v>
      </c>
      <c r="O249" s="243">
        <v>25058</v>
      </c>
      <c r="Q249" s="195"/>
      <c r="R249" s="139"/>
      <c r="S249" s="137"/>
      <c r="T249" s="247"/>
    </row>
    <row r="250" spans="1:20" x14ac:dyDescent="0.2">
      <c r="A250" t="s">
        <v>693</v>
      </c>
      <c r="C250" s="139" t="s">
        <v>209</v>
      </c>
      <c r="D250">
        <v>0.1177</v>
      </c>
      <c r="E250">
        <v>7.6799999999999993E-2</v>
      </c>
      <c r="F250">
        <v>6.7799999999999999E-2</v>
      </c>
      <c r="G250" s="247">
        <f t="shared" si="15"/>
        <v>183.10955429281501</v>
      </c>
      <c r="H250">
        <v>1881656804.7337279</v>
      </c>
      <c r="I250">
        <v>478358208.95522386</v>
      </c>
      <c r="J250">
        <v>478358208.95522386</v>
      </c>
      <c r="K250" s="195">
        <f t="shared" si="16"/>
        <v>2214710.0591715975</v>
      </c>
      <c r="L250" s="195">
        <f t="shared" si="17"/>
        <v>367379.10447761184</v>
      </c>
      <c r="M250" s="195">
        <f t="shared" si="18"/>
        <v>324326.86567164178</v>
      </c>
      <c r="N250" s="195">
        <f t="shared" si="19"/>
        <v>691705.97014925361</v>
      </c>
      <c r="O250" s="243">
        <v>12095</v>
      </c>
      <c r="Q250" s="195"/>
      <c r="R250" s="139"/>
      <c r="S250" s="137"/>
      <c r="T250" s="247"/>
    </row>
    <row r="251" spans="1:20" x14ac:dyDescent="0.2">
      <c r="A251" t="s">
        <v>691</v>
      </c>
      <c r="C251" s="139" t="s">
        <v>348</v>
      </c>
      <c r="D251">
        <v>0.1186</v>
      </c>
      <c r="E251">
        <v>0.2142</v>
      </c>
      <c r="F251">
        <v>0.1671</v>
      </c>
      <c r="G251" s="247">
        <f t="shared" si="15"/>
        <v>266.42383380869336</v>
      </c>
      <c r="H251">
        <v>912265758.09199309</v>
      </c>
      <c r="I251">
        <v>150463576.1589404</v>
      </c>
      <c r="J251">
        <v>150463576.1589404</v>
      </c>
      <c r="K251" s="195">
        <f t="shared" si="16"/>
        <v>1081947.1890971037</v>
      </c>
      <c r="L251" s="195">
        <f t="shared" si="17"/>
        <v>322292.98013245035</v>
      </c>
      <c r="M251" s="195">
        <f t="shared" si="18"/>
        <v>251424.63576158939</v>
      </c>
      <c r="N251" s="195">
        <f t="shared" si="19"/>
        <v>573717.61589403974</v>
      </c>
      <c r="O251" s="243">
        <v>4061</v>
      </c>
      <c r="Q251" s="195"/>
      <c r="R251" s="139"/>
      <c r="S251" s="137"/>
      <c r="T251" s="247"/>
    </row>
    <row r="252" spans="1:20" x14ac:dyDescent="0.2">
      <c r="A252" t="s">
        <v>691</v>
      </c>
      <c r="C252" s="139" t="s">
        <v>349</v>
      </c>
      <c r="D252">
        <v>0.1072</v>
      </c>
      <c r="E252">
        <v>0.13930000000000001</v>
      </c>
      <c r="F252">
        <v>0.113</v>
      </c>
      <c r="G252" s="247">
        <f t="shared" si="15"/>
        <v>227.04573947255312</v>
      </c>
      <c r="H252">
        <v>1026365348.3992467</v>
      </c>
      <c r="I252">
        <v>224000000</v>
      </c>
      <c r="J252">
        <v>224000000</v>
      </c>
      <c r="K252" s="195">
        <f t="shared" si="16"/>
        <v>1100263.6534839924</v>
      </c>
      <c r="L252" s="195">
        <f t="shared" si="17"/>
        <v>312032</v>
      </c>
      <c r="M252" s="195">
        <f t="shared" si="18"/>
        <v>253120</v>
      </c>
      <c r="N252" s="195">
        <f t="shared" si="19"/>
        <v>565152</v>
      </c>
      <c r="O252" s="243">
        <v>4846</v>
      </c>
      <c r="Q252" s="195"/>
      <c r="R252" s="139"/>
      <c r="S252" s="137"/>
      <c r="T252" s="247"/>
    </row>
    <row r="253" spans="1:20" x14ac:dyDescent="0.2">
      <c r="A253" t="s">
        <v>693</v>
      </c>
      <c r="C253" s="139" t="s">
        <v>210</v>
      </c>
      <c r="D253">
        <v>0.12770000000000001</v>
      </c>
      <c r="E253">
        <v>0.1598</v>
      </c>
      <c r="F253">
        <v>0.1135</v>
      </c>
      <c r="G253" s="247">
        <f t="shared" si="15"/>
        <v>172.94528043775651</v>
      </c>
      <c r="H253">
        <v>1782000000</v>
      </c>
      <c r="I253">
        <v>405650000</v>
      </c>
      <c r="J253">
        <v>405650000</v>
      </c>
      <c r="K253" s="195">
        <f t="shared" si="16"/>
        <v>2275614</v>
      </c>
      <c r="L253" s="195">
        <f t="shared" si="17"/>
        <v>648228.69999999995</v>
      </c>
      <c r="M253" s="195">
        <f t="shared" si="18"/>
        <v>460412.75</v>
      </c>
      <c r="N253" s="195">
        <f t="shared" si="19"/>
        <v>1108641.45</v>
      </c>
      <c r="O253" s="243">
        <v>13158</v>
      </c>
      <c r="Q253" s="195"/>
      <c r="R253" s="139"/>
      <c r="S253" s="137"/>
      <c r="T253" s="247"/>
    </row>
    <row r="254" spans="1:20" x14ac:dyDescent="0.2">
      <c r="A254" t="s">
        <v>690</v>
      </c>
      <c r="C254" s="139" t="s">
        <v>475</v>
      </c>
      <c r="D254">
        <v>0.11990000000000001</v>
      </c>
      <c r="E254">
        <v>0.22420000000000001</v>
      </c>
      <c r="F254">
        <v>0.1812</v>
      </c>
      <c r="G254" s="247">
        <f t="shared" si="15"/>
        <v>237.22616922638508</v>
      </c>
      <c r="H254">
        <v>7765546218.4873953</v>
      </c>
      <c r="I254">
        <v>1870926680.2443988</v>
      </c>
      <c r="J254">
        <v>1870926680.2443988</v>
      </c>
      <c r="K254" s="195">
        <f t="shared" si="16"/>
        <v>9310889.9159663878</v>
      </c>
      <c r="L254" s="195">
        <f t="shared" si="17"/>
        <v>4194617.6171079418</v>
      </c>
      <c r="M254" s="195">
        <f t="shared" si="18"/>
        <v>3390119.1446028505</v>
      </c>
      <c r="N254" s="195">
        <f t="shared" si="19"/>
        <v>7584736.7617107928</v>
      </c>
      <c r="O254" s="243">
        <v>39249</v>
      </c>
      <c r="Q254" s="195"/>
      <c r="R254" s="139"/>
      <c r="S254" s="137"/>
      <c r="T254" s="247"/>
    </row>
    <row r="255" spans="1:20" x14ac:dyDescent="0.2">
      <c r="A255" t="s">
        <v>694</v>
      </c>
      <c r="C255" s="139" t="s">
        <v>400</v>
      </c>
      <c r="D255">
        <v>0.14942</v>
      </c>
      <c r="E255">
        <v>0.32888000000000001</v>
      </c>
      <c r="F255">
        <v>0.27139000000000002</v>
      </c>
      <c r="G255" s="247">
        <f t="shared" si="15"/>
        <v>323.02737309818059</v>
      </c>
      <c r="H255">
        <v>2161226508.407517</v>
      </c>
      <c r="I255">
        <v>598087939.60317159</v>
      </c>
      <c r="J255">
        <v>598087939.60317159</v>
      </c>
      <c r="K255" s="195">
        <f t="shared" si="16"/>
        <v>3229304.6488625114</v>
      </c>
      <c r="L255" s="195">
        <f t="shared" si="17"/>
        <v>1966991.6157669106</v>
      </c>
      <c r="M255" s="195">
        <f t="shared" si="18"/>
        <v>1623150.8592890473</v>
      </c>
      <c r="N255" s="195">
        <f t="shared" si="19"/>
        <v>3590142.4750559581</v>
      </c>
      <c r="O255" s="243">
        <v>9997</v>
      </c>
      <c r="Q255" s="195"/>
      <c r="R255" s="139"/>
      <c r="S255" s="137"/>
      <c r="T255" s="247"/>
    </row>
    <row r="256" spans="1:20" x14ac:dyDescent="0.2">
      <c r="A256" t="s">
        <v>692</v>
      </c>
      <c r="C256" s="139" t="s">
        <v>276</v>
      </c>
      <c r="D256">
        <v>0.16300000000000001</v>
      </c>
      <c r="E256">
        <v>0.17319999999999999</v>
      </c>
      <c r="F256">
        <v>0.14785000000000001</v>
      </c>
      <c r="G256" s="247">
        <f t="shared" si="15"/>
        <v>295.15559506601795</v>
      </c>
      <c r="H256">
        <v>3170297029.7029705</v>
      </c>
      <c r="I256">
        <v>800785433.7736522</v>
      </c>
      <c r="J256">
        <v>800785433.7736522</v>
      </c>
      <c r="K256" s="195">
        <f t="shared" si="16"/>
        <v>5167584.1584158419</v>
      </c>
      <c r="L256" s="195">
        <f t="shared" si="17"/>
        <v>1386960.3712959655</v>
      </c>
      <c r="M256" s="195">
        <f t="shared" si="18"/>
        <v>1183961.2638343449</v>
      </c>
      <c r="N256" s="195">
        <f t="shared" si="19"/>
        <v>2570921.6351303104</v>
      </c>
      <c r="O256" s="243">
        <v>17508</v>
      </c>
      <c r="Q256" s="195"/>
      <c r="R256" s="139"/>
      <c r="S256" s="137"/>
      <c r="T256" s="247"/>
    </row>
    <row r="257" spans="1:20" x14ac:dyDescent="0.2">
      <c r="A257" t="s">
        <v>691</v>
      </c>
      <c r="C257" s="139" t="s">
        <v>350</v>
      </c>
      <c r="D257">
        <v>9.1600000000000001E-2</v>
      </c>
      <c r="E257">
        <v>0.24149999999999999</v>
      </c>
      <c r="F257">
        <v>0.192</v>
      </c>
      <c r="G257" s="247">
        <f t="shared" si="15"/>
        <v>276.02738718597396</v>
      </c>
      <c r="H257">
        <v>1781521739.1304348</v>
      </c>
      <c r="I257">
        <v>619440225.64547622</v>
      </c>
      <c r="J257">
        <v>619440225.64547622</v>
      </c>
      <c r="K257" s="195">
        <f t="shared" si="16"/>
        <v>1631873.913043478</v>
      </c>
      <c r="L257" s="195">
        <f t="shared" si="17"/>
        <v>1495948.1449338251</v>
      </c>
      <c r="M257" s="195">
        <f t="shared" si="18"/>
        <v>1189325.2332393145</v>
      </c>
      <c r="N257" s="195">
        <f t="shared" si="19"/>
        <v>2685273.3781731399</v>
      </c>
      <c r="O257" s="243">
        <v>5912</v>
      </c>
      <c r="Q257" s="195"/>
      <c r="R257" s="139"/>
      <c r="S257" s="137"/>
      <c r="T257" s="247"/>
    </row>
    <row r="258" spans="1:20" x14ac:dyDescent="0.2">
      <c r="A258" t="s">
        <v>697</v>
      </c>
      <c r="C258" s="139" t="s">
        <v>306</v>
      </c>
      <c r="D258">
        <v>0.1187</v>
      </c>
      <c r="E258">
        <v>0.19769999999999999</v>
      </c>
      <c r="F258">
        <v>0.15629999999999999</v>
      </c>
      <c r="G258" s="247">
        <f t="shared" si="15"/>
        <v>313.06836305062041</v>
      </c>
      <c r="H258">
        <v>1128839590.443686</v>
      </c>
      <c r="I258">
        <v>200584795.32163745</v>
      </c>
      <c r="J258">
        <v>200584795.32163745</v>
      </c>
      <c r="K258" s="195">
        <f t="shared" si="16"/>
        <v>1339932.5938566553</v>
      </c>
      <c r="L258" s="195">
        <f t="shared" si="17"/>
        <v>396556.14035087719</v>
      </c>
      <c r="M258" s="195">
        <f t="shared" si="18"/>
        <v>313514.03508771933</v>
      </c>
      <c r="N258" s="195">
        <f t="shared" si="19"/>
        <v>710070.17543859652</v>
      </c>
      <c r="O258" s="243">
        <v>4280</v>
      </c>
      <c r="Q258" s="195"/>
      <c r="R258" s="139"/>
      <c r="S258" s="137"/>
      <c r="T258" s="247"/>
    </row>
    <row r="259" spans="1:20" x14ac:dyDescent="0.2">
      <c r="A259" t="s">
        <v>692</v>
      </c>
      <c r="C259" s="139" t="s">
        <v>277</v>
      </c>
      <c r="D259">
        <v>0.11219999999999999</v>
      </c>
      <c r="E259">
        <v>0.1419</v>
      </c>
      <c r="F259">
        <v>0.1147</v>
      </c>
      <c r="G259" s="247">
        <f t="shared" si="15"/>
        <v>242.69783757457003</v>
      </c>
      <c r="H259">
        <v>4198542805.1001825</v>
      </c>
      <c r="I259">
        <v>918351169.24296474</v>
      </c>
      <c r="J259">
        <v>918351169.24296474</v>
      </c>
      <c r="K259" s="195">
        <f t="shared" si="16"/>
        <v>4710765.0273224041</v>
      </c>
      <c r="L259" s="195">
        <f t="shared" si="17"/>
        <v>1303140.3091557669</v>
      </c>
      <c r="M259" s="195">
        <f t="shared" si="18"/>
        <v>1053348.7911216805</v>
      </c>
      <c r="N259" s="195">
        <f t="shared" si="19"/>
        <v>2356489.1002774471</v>
      </c>
      <c r="O259" s="243">
        <v>19410</v>
      </c>
      <c r="Q259" s="195"/>
      <c r="R259" s="139"/>
      <c r="S259" s="137"/>
      <c r="T259" s="247"/>
    </row>
    <row r="260" spans="1:20" x14ac:dyDescent="0.2">
      <c r="A260" t="s">
        <v>694</v>
      </c>
      <c r="C260" s="139" t="s">
        <v>401</v>
      </c>
      <c r="D260">
        <v>0.13350000000000001</v>
      </c>
      <c r="E260">
        <v>0.2127</v>
      </c>
      <c r="F260">
        <v>0.17560000000000001</v>
      </c>
      <c r="G260" s="247">
        <f t="shared" ref="G260:G321" si="20">K260/O260</f>
        <v>244.64235736276038</v>
      </c>
      <c r="H260">
        <v>2619047619.0476189</v>
      </c>
      <c r="I260">
        <v>497359577.5324052</v>
      </c>
      <c r="J260">
        <v>497359577.5324052</v>
      </c>
      <c r="K260" s="195">
        <f t="shared" ref="K260:K321" si="21">D260*H260/100</f>
        <v>3496428.5714285714</v>
      </c>
      <c r="L260" s="195">
        <f t="shared" ref="L260:L321" si="22">E260*J260/100</f>
        <v>1057883.8214114259</v>
      </c>
      <c r="M260" s="195">
        <f t="shared" ref="M260:M321" si="23">F260*I260/100</f>
        <v>873363.41814690351</v>
      </c>
      <c r="N260" s="195">
        <f t="shared" ref="N260:N321" si="24">SUM(L260:M260)</f>
        <v>1931247.2395583293</v>
      </c>
      <c r="O260" s="243">
        <v>14292</v>
      </c>
      <c r="Q260" s="195"/>
      <c r="R260" s="139"/>
      <c r="S260" s="137"/>
      <c r="T260" s="247"/>
    </row>
    <row r="261" spans="1:20" x14ac:dyDescent="0.2">
      <c r="A261" t="s">
        <v>699</v>
      </c>
      <c r="C261" s="139" t="s">
        <v>516</v>
      </c>
      <c r="D261">
        <v>0.10299999999999999</v>
      </c>
      <c r="E261">
        <v>0.16980000000000001</v>
      </c>
      <c r="F261">
        <v>0.13589999999999999</v>
      </c>
      <c r="G261" s="247">
        <f t="shared" si="20"/>
        <v>201.13431197001157</v>
      </c>
      <c r="H261">
        <v>3627838104.6396842</v>
      </c>
      <c r="I261">
        <v>909030544.48871183</v>
      </c>
      <c r="J261">
        <v>909030544.48871183</v>
      </c>
      <c r="K261" s="195">
        <f t="shared" si="21"/>
        <v>3736673.2477788748</v>
      </c>
      <c r="L261" s="195">
        <f t="shared" si="22"/>
        <v>1543533.8645418328</v>
      </c>
      <c r="M261" s="195">
        <f t="shared" si="23"/>
        <v>1235372.5099601594</v>
      </c>
      <c r="N261" s="195">
        <f t="shared" si="24"/>
        <v>2778906.374501992</v>
      </c>
      <c r="O261" s="243">
        <v>18578</v>
      </c>
      <c r="Q261" s="195"/>
      <c r="R261" s="139"/>
      <c r="S261" s="137"/>
      <c r="T261" s="247"/>
    </row>
    <row r="262" spans="1:20" x14ac:dyDescent="0.2">
      <c r="A262" t="s">
        <v>698</v>
      </c>
      <c r="C262" s="139" t="s">
        <v>189</v>
      </c>
      <c r="D262">
        <v>0.20280000000000001</v>
      </c>
      <c r="E262">
        <v>0.39850000000000002</v>
      </c>
      <c r="F262">
        <v>0.2238</v>
      </c>
      <c r="G262" s="247">
        <f t="shared" si="20"/>
        <v>249.16651209687009</v>
      </c>
      <c r="H262">
        <v>711009174.3119266</v>
      </c>
      <c r="I262">
        <v>142258713.13672924</v>
      </c>
      <c r="J262">
        <v>142258713.13672924</v>
      </c>
      <c r="K262" s="195">
        <f t="shared" si="21"/>
        <v>1441926.6055045873</v>
      </c>
      <c r="L262" s="195">
        <f t="shared" si="22"/>
        <v>566900.97184986609</v>
      </c>
      <c r="M262" s="195">
        <f t="shared" si="23"/>
        <v>318375.00000000006</v>
      </c>
      <c r="N262" s="195">
        <f t="shared" si="24"/>
        <v>885275.97184986621</v>
      </c>
      <c r="O262" s="243">
        <v>5787</v>
      </c>
      <c r="Q262" s="195"/>
      <c r="R262" s="139"/>
      <c r="S262" s="137"/>
      <c r="T262" s="247"/>
    </row>
    <row r="263" spans="1:20" x14ac:dyDescent="0.2">
      <c r="A263" t="s">
        <v>694</v>
      </c>
      <c r="C263" s="139" t="s">
        <v>402</v>
      </c>
      <c r="D263">
        <v>0.11269999999999999</v>
      </c>
      <c r="E263">
        <v>0.22159999999999999</v>
      </c>
      <c r="F263">
        <v>0.1585</v>
      </c>
      <c r="G263" s="247">
        <f t="shared" si="20"/>
        <v>277.0070894948513</v>
      </c>
      <c r="H263">
        <v>4982440737.4890251</v>
      </c>
      <c r="I263">
        <v>897565922.9208926</v>
      </c>
      <c r="J263">
        <v>897565922.9208926</v>
      </c>
      <c r="K263" s="195">
        <f t="shared" si="21"/>
        <v>5615210.7111501312</v>
      </c>
      <c r="L263" s="195">
        <f t="shared" si="22"/>
        <v>1989006.0851926981</v>
      </c>
      <c r="M263" s="195">
        <f t="shared" si="23"/>
        <v>1422641.9878296149</v>
      </c>
      <c r="N263" s="195">
        <f t="shared" si="24"/>
        <v>3411648.073022313</v>
      </c>
      <c r="O263" s="243">
        <v>20271</v>
      </c>
      <c r="Q263" s="195"/>
      <c r="R263" s="139"/>
      <c r="S263" s="137"/>
      <c r="T263" s="247"/>
    </row>
    <row r="264" spans="1:20" x14ac:dyDescent="0.2">
      <c r="A264" t="s">
        <v>691</v>
      </c>
      <c r="C264" s="139" t="s">
        <v>351</v>
      </c>
      <c r="D264">
        <v>0.1217</v>
      </c>
      <c r="E264">
        <v>0.20610000000000001</v>
      </c>
      <c r="F264">
        <v>0.1933</v>
      </c>
      <c r="G264" s="247">
        <f t="shared" si="20"/>
        <v>215.01800947264894</v>
      </c>
      <c r="H264">
        <v>6328455284.552845</v>
      </c>
      <c r="I264">
        <v>1164356435.6435645</v>
      </c>
      <c r="J264">
        <v>1164356435.6435645</v>
      </c>
      <c r="K264" s="195">
        <f t="shared" si="21"/>
        <v>7701730.0813008128</v>
      </c>
      <c r="L264" s="195">
        <f t="shared" si="22"/>
        <v>2399738.6138613867</v>
      </c>
      <c r="M264" s="195">
        <f t="shared" si="23"/>
        <v>2250700.9900990101</v>
      </c>
      <c r="N264" s="195">
        <f t="shared" si="24"/>
        <v>4650439.6039603967</v>
      </c>
      <c r="O264" s="243">
        <v>35819</v>
      </c>
      <c r="Q264" s="195"/>
      <c r="R264" s="139"/>
      <c r="S264" s="137"/>
      <c r="T264" s="247"/>
    </row>
    <row r="265" spans="1:20" x14ac:dyDescent="0.2">
      <c r="A265" t="s">
        <v>692</v>
      </c>
      <c r="C265" s="139" t="s">
        <v>278</v>
      </c>
      <c r="D265">
        <v>7.8100000000000003E-2</v>
      </c>
      <c r="E265">
        <v>0.15340000000000001</v>
      </c>
      <c r="F265">
        <v>0.1258</v>
      </c>
      <c r="G265" s="247">
        <f t="shared" si="20"/>
        <v>186.13149140997686</v>
      </c>
      <c r="H265">
        <v>2685679611.6504855</v>
      </c>
      <c r="I265">
        <v>476137624.86126524</v>
      </c>
      <c r="J265">
        <v>476137624.86126524</v>
      </c>
      <c r="K265" s="195">
        <f t="shared" si="21"/>
        <v>2097515.7766990294</v>
      </c>
      <c r="L265" s="195">
        <f t="shared" si="22"/>
        <v>730395.11653718096</v>
      </c>
      <c r="M265" s="195">
        <f t="shared" si="23"/>
        <v>598981.13207547169</v>
      </c>
      <c r="N265" s="195">
        <f t="shared" si="24"/>
        <v>1329376.2486126525</v>
      </c>
      <c r="O265" s="243">
        <v>11269</v>
      </c>
      <c r="Q265" s="195"/>
      <c r="R265" s="139"/>
      <c r="S265" s="137"/>
      <c r="T265" s="247"/>
    </row>
    <row r="266" spans="1:20" x14ac:dyDescent="0.2">
      <c r="A266" t="s">
        <v>695</v>
      </c>
      <c r="C266" s="139" t="s">
        <v>232</v>
      </c>
      <c r="D266">
        <v>0.1348</v>
      </c>
      <c r="E266">
        <v>0.20849999999999999</v>
      </c>
      <c r="F266">
        <v>0.1691</v>
      </c>
      <c r="G266" s="247">
        <f t="shared" si="20"/>
        <v>287.48737881245489</v>
      </c>
      <c r="H266">
        <v>3394611727.4167986</v>
      </c>
      <c r="I266">
        <v>909142857.14285731</v>
      </c>
      <c r="J266">
        <v>909142857.14285731</v>
      </c>
      <c r="K266" s="195">
        <f t="shared" si="21"/>
        <v>4575936.6085578445</v>
      </c>
      <c r="L266" s="195">
        <f t="shared" si="22"/>
        <v>1895562.8571428573</v>
      </c>
      <c r="M266" s="195">
        <f t="shared" si="23"/>
        <v>1537360.5714285716</v>
      </c>
      <c r="N266" s="195">
        <f t="shared" si="24"/>
        <v>3432923.4285714291</v>
      </c>
      <c r="O266" s="243">
        <v>15917</v>
      </c>
      <c r="Q266" s="195"/>
      <c r="R266" s="139"/>
      <c r="S266" s="137"/>
      <c r="T266" s="247"/>
    </row>
    <row r="267" spans="1:20" x14ac:dyDescent="0.2">
      <c r="A267" t="s">
        <v>701</v>
      </c>
      <c r="C267" s="139" t="s">
        <v>427</v>
      </c>
      <c r="D267">
        <v>0.1094</v>
      </c>
      <c r="E267">
        <v>0.16889999999999999</v>
      </c>
      <c r="F267">
        <v>0.13700000000000001</v>
      </c>
      <c r="G267" s="247">
        <f t="shared" si="20"/>
        <v>190.99519133326089</v>
      </c>
      <c r="H267">
        <v>1582955575.7026293</v>
      </c>
      <c r="I267">
        <v>594957432.87491822</v>
      </c>
      <c r="J267">
        <v>594957432.87491822</v>
      </c>
      <c r="K267" s="195">
        <f t="shared" si="21"/>
        <v>1731753.3998186765</v>
      </c>
      <c r="L267" s="195">
        <f t="shared" si="22"/>
        <v>1004883.1041257367</v>
      </c>
      <c r="M267" s="195">
        <f t="shared" si="23"/>
        <v>815091.68303863809</v>
      </c>
      <c r="N267" s="195">
        <f t="shared" si="24"/>
        <v>1819974.7871643747</v>
      </c>
      <c r="O267" s="243">
        <v>9067</v>
      </c>
      <c r="Q267" s="195"/>
      <c r="R267" s="139"/>
      <c r="S267" s="137"/>
      <c r="T267" s="247"/>
    </row>
    <row r="268" spans="1:20" x14ac:dyDescent="0.2">
      <c r="A268" t="s">
        <v>692</v>
      </c>
      <c r="C268" s="139" t="s">
        <v>279</v>
      </c>
      <c r="D268">
        <v>0.12089999999999999</v>
      </c>
      <c r="E268">
        <v>0.2407</v>
      </c>
      <c r="F268">
        <v>0.19689999999999999</v>
      </c>
      <c r="G268" s="247">
        <f t="shared" si="20"/>
        <v>276.65766910574547</v>
      </c>
      <c r="H268">
        <v>3531561461.7940202</v>
      </c>
      <c r="I268">
        <v>575243845.79656291</v>
      </c>
      <c r="J268">
        <v>575243845.79656291</v>
      </c>
      <c r="K268" s="195">
        <f t="shared" si="21"/>
        <v>4269657.80730897</v>
      </c>
      <c r="L268" s="195">
        <f t="shared" si="22"/>
        <v>1384611.9368323269</v>
      </c>
      <c r="M268" s="195">
        <f t="shared" si="23"/>
        <v>1132655.1323734324</v>
      </c>
      <c r="N268" s="195">
        <f t="shared" si="24"/>
        <v>2517267.0692057591</v>
      </c>
      <c r="O268" s="243">
        <v>15433</v>
      </c>
      <c r="Q268" s="195"/>
      <c r="R268" s="139"/>
      <c r="S268" s="137"/>
      <c r="T268" s="247"/>
    </row>
    <row r="269" spans="1:20" x14ac:dyDescent="0.2">
      <c r="A269" t="s">
        <v>697</v>
      </c>
      <c r="C269" s="139" t="s">
        <v>307</v>
      </c>
      <c r="D269">
        <v>8.3099999999999993E-2</v>
      </c>
      <c r="E269">
        <v>0.1535</v>
      </c>
      <c r="F269">
        <v>0.13789999999999999</v>
      </c>
      <c r="G269" s="247">
        <f t="shared" si="20"/>
        <v>211.13468489706113</v>
      </c>
      <c r="H269">
        <v>480198019.80198026</v>
      </c>
      <c r="I269">
        <v>142649727.76769513</v>
      </c>
      <c r="J269">
        <v>142649727.76769513</v>
      </c>
      <c r="K269" s="195">
        <f t="shared" si="21"/>
        <v>399044.55445544556</v>
      </c>
      <c r="L269" s="195">
        <f t="shared" si="22"/>
        <v>218967.33212341199</v>
      </c>
      <c r="M269" s="195">
        <f t="shared" si="23"/>
        <v>196713.97459165155</v>
      </c>
      <c r="N269" s="195">
        <f t="shared" si="24"/>
        <v>415681.30671506352</v>
      </c>
      <c r="O269" s="243">
        <v>1890</v>
      </c>
      <c r="Q269" s="195"/>
      <c r="R269" s="139"/>
      <c r="S269" s="137"/>
      <c r="T269" s="247"/>
    </row>
    <row r="270" spans="1:20" x14ac:dyDescent="0.2">
      <c r="A270" t="s">
        <v>690</v>
      </c>
      <c r="C270" s="139" t="s">
        <v>476</v>
      </c>
      <c r="D270">
        <v>0.11509999999999999</v>
      </c>
      <c r="E270">
        <v>0.20119999999999999</v>
      </c>
      <c r="F270">
        <v>0.1263</v>
      </c>
      <c r="G270" s="247">
        <f t="shared" si="20"/>
        <v>272.78561752249038</v>
      </c>
      <c r="H270">
        <v>1307759372.2755013</v>
      </c>
      <c r="I270">
        <v>310570071.25890738</v>
      </c>
      <c r="J270">
        <v>310570071.25890738</v>
      </c>
      <c r="K270" s="195">
        <f t="shared" si="21"/>
        <v>1505231.037489102</v>
      </c>
      <c r="L270" s="195">
        <f t="shared" si="22"/>
        <v>624866.98337292159</v>
      </c>
      <c r="M270" s="195">
        <f t="shared" si="23"/>
        <v>392250</v>
      </c>
      <c r="N270" s="195">
        <f t="shared" si="24"/>
        <v>1017116.9833729216</v>
      </c>
      <c r="O270" s="243">
        <v>5518</v>
      </c>
      <c r="Q270" s="195"/>
      <c r="R270" s="139"/>
      <c r="S270" s="137"/>
      <c r="T270" s="247"/>
    </row>
    <row r="271" spans="1:20" x14ac:dyDescent="0.2">
      <c r="A271" t="s">
        <v>692</v>
      </c>
      <c r="C271" s="139" t="s">
        <v>280</v>
      </c>
      <c r="D271">
        <v>0.1426</v>
      </c>
      <c r="E271">
        <v>0.23680000000000001</v>
      </c>
      <c r="F271">
        <v>0.19020000000000001</v>
      </c>
      <c r="G271" s="247">
        <f t="shared" si="20"/>
        <v>262.20465201801966</v>
      </c>
      <c r="H271">
        <v>4000000000</v>
      </c>
      <c r="I271">
        <v>752492098.22513986</v>
      </c>
      <c r="J271">
        <v>752492098.22513986</v>
      </c>
      <c r="K271" s="195">
        <f t="shared" si="21"/>
        <v>5704000</v>
      </c>
      <c r="L271" s="195">
        <f t="shared" si="22"/>
        <v>1781901.2885971314</v>
      </c>
      <c r="M271" s="195">
        <f t="shared" si="23"/>
        <v>1431239.970824216</v>
      </c>
      <c r="N271" s="195">
        <f t="shared" si="24"/>
        <v>3213141.2594213476</v>
      </c>
      <c r="O271" s="243">
        <v>21754</v>
      </c>
      <c r="Q271" s="195"/>
      <c r="R271" s="139"/>
      <c r="S271" s="137"/>
      <c r="T271" s="247"/>
    </row>
    <row r="272" spans="1:20" x14ac:dyDescent="0.2">
      <c r="A272" t="s">
        <v>697</v>
      </c>
      <c r="C272" s="139" t="s">
        <v>308</v>
      </c>
      <c r="D272">
        <v>0.15079999999999999</v>
      </c>
      <c r="E272">
        <v>0.24199999999999999</v>
      </c>
      <c r="F272">
        <v>0.19120000000000001</v>
      </c>
      <c r="G272" s="247">
        <f t="shared" si="20"/>
        <v>350.22786212453099</v>
      </c>
      <c r="H272">
        <v>1818490822.5696802</v>
      </c>
      <c r="I272">
        <v>303659976.38724911</v>
      </c>
      <c r="J272">
        <v>303659976.38724911</v>
      </c>
      <c r="K272" s="195">
        <f t="shared" si="21"/>
        <v>2742284.1604350777</v>
      </c>
      <c r="L272" s="195">
        <f t="shared" si="22"/>
        <v>734857.14285714284</v>
      </c>
      <c r="M272" s="195">
        <f t="shared" si="23"/>
        <v>580597.8748524203</v>
      </c>
      <c r="N272" s="195">
        <f t="shared" si="24"/>
        <v>1315455.017709563</v>
      </c>
      <c r="O272" s="243">
        <v>7830</v>
      </c>
      <c r="Q272" s="195"/>
      <c r="R272" s="139"/>
      <c r="S272" s="137"/>
      <c r="T272" s="247"/>
    </row>
    <row r="273" spans="1:20" x14ac:dyDescent="0.2">
      <c r="A273" t="s">
        <v>694</v>
      </c>
      <c r="C273" s="139" t="s">
        <v>403</v>
      </c>
      <c r="D273">
        <v>0.1293</v>
      </c>
      <c r="E273">
        <v>0.254</v>
      </c>
      <c r="F273">
        <v>0.20200000000000001</v>
      </c>
      <c r="G273" s="247">
        <f t="shared" si="20"/>
        <v>236.49826807228916</v>
      </c>
      <c r="H273">
        <v>3795312500</v>
      </c>
      <c r="I273">
        <v>762790697.67441857</v>
      </c>
      <c r="J273">
        <v>762790697.67441857</v>
      </c>
      <c r="K273" s="195">
        <f t="shared" si="21"/>
        <v>4907339.0625</v>
      </c>
      <c r="L273" s="195">
        <f t="shared" si="22"/>
        <v>1937488.372093023</v>
      </c>
      <c r="M273" s="195">
        <f t="shared" si="23"/>
        <v>1540837.2093023255</v>
      </c>
      <c r="N273" s="195">
        <f t="shared" si="24"/>
        <v>3478325.5813953485</v>
      </c>
      <c r="O273" s="243">
        <v>20750</v>
      </c>
      <c r="Q273" s="195"/>
      <c r="R273" s="139"/>
      <c r="S273" s="137"/>
      <c r="T273" s="247"/>
    </row>
    <row r="274" spans="1:20" x14ac:dyDescent="0.2">
      <c r="A274" t="s">
        <v>692</v>
      </c>
      <c r="C274" s="139" t="s">
        <v>281</v>
      </c>
      <c r="D274">
        <v>0.15490000000000001</v>
      </c>
      <c r="E274">
        <v>0.20369999999999999</v>
      </c>
      <c r="F274">
        <v>0.1331</v>
      </c>
      <c r="G274" s="247">
        <f t="shared" si="20"/>
        <v>282.01332855581023</v>
      </c>
      <c r="H274">
        <v>873167155.42522001</v>
      </c>
      <c r="I274">
        <v>201335207.30850315</v>
      </c>
      <c r="J274">
        <v>201335207.30850315</v>
      </c>
      <c r="K274" s="195">
        <f t="shared" si="21"/>
        <v>1352535.923753666</v>
      </c>
      <c r="L274" s="195">
        <f t="shared" si="22"/>
        <v>410119.81728742091</v>
      </c>
      <c r="M274" s="195">
        <f t="shared" si="23"/>
        <v>267977.16092761769</v>
      </c>
      <c r="N274" s="195">
        <f t="shared" si="24"/>
        <v>678096.97821503854</v>
      </c>
      <c r="O274" s="243">
        <v>4796</v>
      </c>
      <c r="Q274" s="195"/>
      <c r="R274" s="139"/>
      <c r="S274" s="137"/>
      <c r="T274" s="247"/>
    </row>
    <row r="275" spans="1:20" x14ac:dyDescent="0.2">
      <c r="A275" t="s">
        <v>695</v>
      </c>
      <c r="C275" s="139" t="s">
        <v>233</v>
      </c>
      <c r="D275">
        <v>0.1106</v>
      </c>
      <c r="E275">
        <v>0.2077</v>
      </c>
      <c r="F275">
        <v>0.16550000000000001</v>
      </c>
      <c r="G275" s="247">
        <f t="shared" si="20"/>
        <v>218.68045259447268</v>
      </c>
      <c r="H275">
        <v>3005571030.6406684</v>
      </c>
      <c r="I275">
        <v>845294610.44401002</v>
      </c>
      <c r="J275">
        <v>845294610.44401002</v>
      </c>
      <c r="K275" s="195">
        <f t="shared" si="21"/>
        <v>3324161.5598885794</v>
      </c>
      <c r="L275" s="195">
        <f t="shared" si="22"/>
        <v>1755676.9058922089</v>
      </c>
      <c r="M275" s="195">
        <f t="shared" si="23"/>
        <v>1398962.5802848367</v>
      </c>
      <c r="N275" s="195">
        <f t="shared" si="24"/>
        <v>3154639.4861770459</v>
      </c>
      <c r="O275" s="243">
        <v>15201</v>
      </c>
      <c r="Q275" s="195"/>
      <c r="R275" s="139"/>
      <c r="S275" s="137"/>
      <c r="T275" s="247"/>
    </row>
    <row r="276" spans="1:20" x14ac:dyDescent="0.2">
      <c r="A276" t="s">
        <v>694</v>
      </c>
      <c r="C276" s="139" t="s">
        <v>404</v>
      </c>
      <c r="D276">
        <v>0.1234</v>
      </c>
      <c r="E276">
        <v>0.48220000000000002</v>
      </c>
      <c r="F276">
        <v>0</v>
      </c>
      <c r="G276" s="247">
        <f t="shared" si="20"/>
        <v>212.58817886564665</v>
      </c>
      <c r="H276">
        <v>4446090534.9794235</v>
      </c>
      <c r="I276">
        <v>1631449165.4021244</v>
      </c>
      <c r="J276">
        <v>1631449165.4021244</v>
      </c>
      <c r="K276" s="195">
        <f t="shared" si="21"/>
        <v>5486475.7201646091</v>
      </c>
      <c r="L276" s="195">
        <f t="shared" si="22"/>
        <v>7866847.8755690446</v>
      </c>
      <c r="M276" s="195">
        <f t="shared" si="23"/>
        <v>0</v>
      </c>
      <c r="N276" s="195">
        <f t="shared" si="24"/>
        <v>7866847.8755690446</v>
      </c>
      <c r="O276" s="243">
        <v>25808</v>
      </c>
      <c r="Q276" s="195"/>
      <c r="R276" s="139"/>
      <c r="S276" s="137"/>
      <c r="T276" s="247"/>
    </row>
    <row r="277" spans="1:20" x14ac:dyDescent="0.2">
      <c r="A277" t="s">
        <v>699</v>
      </c>
      <c r="C277" s="139" t="s">
        <v>517</v>
      </c>
      <c r="D277">
        <v>0.123</v>
      </c>
      <c r="E277">
        <v>0.13669999999999999</v>
      </c>
      <c r="F277">
        <v>0.1108</v>
      </c>
      <c r="G277" s="247">
        <f t="shared" si="20"/>
        <v>214.60935919014031</v>
      </c>
      <c r="H277">
        <v>1703614457.8313253</v>
      </c>
      <c r="I277">
        <v>280414838.45233345</v>
      </c>
      <c r="J277">
        <v>280414838.45233345</v>
      </c>
      <c r="K277" s="195">
        <f t="shared" si="21"/>
        <v>2095445.7831325301</v>
      </c>
      <c r="L277" s="195">
        <f t="shared" si="22"/>
        <v>383327.08416433982</v>
      </c>
      <c r="M277" s="195">
        <f t="shared" si="23"/>
        <v>310699.64100518543</v>
      </c>
      <c r="N277" s="195">
        <f t="shared" si="24"/>
        <v>694026.72516952525</v>
      </c>
      <c r="O277" s="243">
        <v>9764</v>
      </c>
      <c r="Q277" s="195"/>
      <c r="R277" s="139"/>
      <c r="S277" s="137"/>
      <c r="T277" s="247"/>
    </row>
    <row r="278" spans="1:20" x14ac:dyDescent="0.2">
      <c r="A278" t="s">
        <v>699</v>
      </c>
      <c r="C278" s="139" t="s">
        <v>518</v>
      </c>
      <c r="D278">
        <v>0.1434</v>
      </c>
      <c r="E278">
        <v>0.17280000000000001</v>
      </c>
      <c r="F278">
        <v>0.14660000000000001</v>
      </c>
      <c r="G278" s="247">
        <f t="shared" si="20"/>
        <v>225.07442629040725</v>
      </c>
      <c r="H278">
        <v>4293522267.2064781</v>
      </c>
      <c r="I278">
        <v>1751995089.0116637</v>
      </c>
      <c r="J278">
        <v>1751995089.0116637</v>
      </c>
      <c r="K278" s="195">
        <f t="shared" si="21"/>
        <v>6156910.9311740901</v>
      </c>
      <c r="L278" s="195">
        <f t="shared" si="22"/>
        <v>3027447.513812155</v>
      </c>
      <c r="M278" s="195">
        <f t="shared" si="23"/>
        <v>2568424.8004910992</v>
      </c>
      <c r="N278" s="195">
        <f t="shared" si="24"/>
        <v>5595872.3143032547</v>
      </c>
      <c r="O278" s="243">
        <v>27355</v>
      </c>
      <c r="Q278" s="195"/>
      <c r="R278" s="139"/>
      <c r="S278" s="137"/>
      <c r="T278" s="247"/>
    </row>
    <row r="279" spans="1:20" x14ac:dyDescent="0.2">
      <c r="A279" t="s">
        <v>690</v>
      </c>
      <c r="C279" s="139" t="s">
        <v>477</v>
      </c>
      <c r="D279">
        <v>0.11197</v>
      </c>
      <c r="E279">
        <v>0.16556999999999999</v>
      </c>
      <c r="F279">
        <v>0.11693000000000001</v>
      </c>
      <c r="G279" s="247">
        <f t="shared" si="20"/>
        <v>217.86809938278051</v>
      </c>
      <c r="H279">
        <v>6806310722.880827</v>
      </c>
      <c r="I279">
        <v>1960528698.1712837</v>
      </c>
      <c r="J279">
        <v>1960528698.1712837</v>
      </c>
      <c r="K279" s="195">
        <f t="shared" si="21"/>
        <v>7621026.1164096622</v>
      </c>
      <c r="L279" s="195">
        <f t="shared" si="22"/>
        <v>3246047.3655621945</v>
      </c>
      <c r="M279" s="195">
        <f t="shared" si="23"/>
        <v>2292446.206771682</v>
      </c>
      <c r="N279" s="195">
        <f t="shared" si="24"/>
        <v>5538493.572333876</v>
      </c>
      <c r="O279" s="243">
        <v>34980</v>
      </c>
      <c r="Q279" s="195"/>
      <c r="R279" s="139"/>
      <c r="S279" s="137"/>
      <c r="T279" s="247"/>
    </row>
    <row r="280" spans="1:20" x14ac:dyDescent="0.2">
      <c r="A280" t="s">
        <v>694</v>
      </c>
      <c r="C280" s="139" t="s">
        <v>405</v>
      </c>
      <c r="D280">
        <v>0.12859999999999999</v>
      </c>
      <c r="E280">
        <v>0.31969999999999998</v>
      </c>
      <c r="F280">
        <v>0.26429999999999998</v>
      </c>
      <c r="G280" s="247">
        <f t="shared" si="20"/>
        <v>179.31393503380346</v>
      </c>
      <c r="H280">
        <v>44408225437.928406</v>
      </c>
      <c r="I280">
        <v>30888622344.071285</v>
      </c>
      <c r="J280">
        <v>30888622344.071285</v>
      </c>
      <c r="K280" s="195">
        <f t="shared" si="21"/>
        <v>57108977.913175926</v>
      </c>
      <c r="L280" s="195">
        <f t="shared" si="22"/>
        <v>98750925.633995891</v>
      </c>
      <c r="M280" s="195">
        <f t="shared" si="23"/>
        <v>81638628.855380401</v>
      </c>
      <c r="N280" s="195">
        <f t="shared" si="24"/>
        <v>180389554.48937631</v>
      </c>
      <c r="O280" s="243">
        <v>318486</v>
      </c>
      <c r="Q280" s="195"/>
      <c r="R280" s="139"/>
      <c r="S280" s="137"/>
      <c r="T280" s="247"/>
    </row>
    <row r="281" spans="1:20" x14ac:dyDescent="0.2">
      <c r="A281" t="s">
        <v>692</v>
      </c>
      <c r="C281" s="139" t="s">
        <v>282</v>
      </c>
      <c r="D281">
        <v>0.1084</v>
      </c>
      <c r="E281">
        <v>0.13009999999999999</v>
      </c>
      <c r="F281">
        <v>0.1047</v>
      </c>
      <c r="G281" s="247">
        <f t="shared" si="20"/>
        <v>479.63200934579436</v>
      </c>
      <c r="H281">
        <v>283177570.09345794</v>
      </c>
      <c r="I281">
        <v>23451327.433628317</v>
      </c>
      <c r="J281">
        <v>23451327.433628317</v>
      </c>
      <c r="K281" s="195">
        <f t="shared" si="21"/>
        <v>306964.48598130839</v>
      </c>
      <c r="L281" s="195">
        <f t="shared" si="22"/>
        <v>30510.176991150438</v>
      </c>
      <c r="M281" s="195">
        <f t="shared" si="23"/>
        <v>24553.53982300885</v>
      </c>
      <c r="N281" s="195">
        <f t="shared" si="24"/>
        <v>55063.716814159285</v>
      </c>
      <c r="O281" s="243">
        <v>640</v>
      </c>
      <c r="Q281" s="195"/>
      <c r="R281" s="139"/>
      <c r="S281" s="137"/>
      <c r="T281" s="247"/>
    </row>
    <row r="282" spans="1:20" x14ac:dyDescent="0.2">
      <c r="A282" t="s">
        <v>699</v>
      </c>
      <c r="C282" s="139" t="s">
        <v>478</v>
      </c>
      <c r="D282">
        <v>0.11559999999999999</v>
      </c>
      <c r="E282">
        <v>0.14380000000000001</v>
      </c>
      <c r="F282">
        <v>0.12039999999999999</v>
      </c>
      <c r="G282" s="247">
        <f t="shared" si="20"/>
        <v>264.45220081902733</v>
      </c>
      <c r="H282">
        <v>2221535745.8075905</v>
      </c>
      <c r="I282">
        <v>445730247.40622509</v>
      </c>
      <c r="J282">
        <v>445730247.40622509</v>
      </c>
      <c r="K282" s="195">
        <f t="shared" si="21"/>
        <v>2568095.3221535743</v>
      </c>
      <c r="L282" s="195">
        <f t="shared" si="22"/>
        <v>640960.0957701517</v>
      </c>
      <c r="M282" s="195">
        <f t="shared" si="23"/>
        <v>536659.21787709498</v>
      </c>
      <c r="N282" s="195">
        <f t="shared" si="24"/>
        <v>1177619.3136472467</v>
      </c>
      <c r="O282" s="243">
        <v>9711</v>
      </c>
      <c r="Q282" s="195"/>
      <c r="R282" s="139"/>
      <c r="S282" s="137"/>
      <c r="T282" s="247"/>
    </row>
    <row r="283" spans="1:20" x14ac:dyDescent="0.2">
      <c r="A283" t="s">
        <v>691</v>
      </c>
      <c r="C283" s="139" t="s">
        <v>352</v>
      </c>
      <c r="D283">
        <v>0.1421</v>
      </c>
      <c r="E283">
        <v>0.20349999999999999</v>
      </c>
      <c r="F283">
        <v>0.15140000000000001</v>
      </c>
      <c r="G283" s="247">
        <f t="shared" si="20"/>
        <v>271.93665566561879</v>
      </c>
      <c r="H283">
        <v>4488390092.8792562</v>
      </c>
      <c r="I283">
        <v>990218454.51581371</v>
      </c>
      <c r="J283">
        <v>990218454.51581371</v>
      </c>
      <c r="K283" s="195">
        <f t="shared" si="21"/>
        <v>6378002.3219814226</v>
      </c>
      <c r="L283" s="195">
        <f t="shared" si="22"/>
        <v>2015094.5549396807</v>
      </c>
      <c r="M283" s="195">
        <f t="shared" si="23"/>
        <v>1499190.7401369419</v>
      </c>
      <c r="N283" s="195">
        <f t="shared" si="24"/>
        <v>3514285.2950766226</v>
      </c>
      <c r="O283" s="243">
        <v>23454</v>
      </c>
      <c r="Q283" s="195"/>
      <c r="R283" s="139"/>
      <c r="S283" s="137"/>
      <c r="T283" s="247"/>
    </row>
    <row r="284" spans="1:20" x14ac:dyDescent="0.2">
      <c r="A284" t="s">
        <v>692</v>
      </c>
      <c r="C284" s="139" t="s">
        <v>283</v>
      </c>
      <c r="D284">
        <v>0.1079</v>
      </c>
      <c r="E284">
        <v>0.14130000000000001</v>
      </c>
      <c r="F284">
        <v>0.1105</v>
      </c>
      <c r="G284" s="247">
        <f t="shared" si="20"/>
        <v>257.62589021239052</v>
      </c>
      <c r="H284">
        <v>924015009.38086307</v>
      </c>
      <c r="I284">
        <v>126760563.38028167</v>
      </c>
      <c r="J284">
        <v>126760563.38028167</v>
      </c>
      <c r="K284" s="195">
        <f t="shared" si="21"/>
        <v>997012.19512195128</v>
      </c>
      <c r="L284" s="195">
        <f t="shared" si="22"/>
        <v>179112.67605633804</v>
      </c>
      <c r="M284" s="195">
        <f t="shared" si="23"/>
        <v>140070.42253521126</v>
      </c>
      <c r="N284" s="195">
        <f t="shared" si="24"/>
        <v>319183.09859154932</v>
      </c>
      <c r="O284" s="243">
        <v>3870</v>
      </c>
      <c r="Q284" s="195"/>
      <c r="R284" s="139"/>
      <c r="S284" s="137"/>
      <c r="T284" s="247"/>
    </row>
    <row r="285" spans="1:20" x14ac:dyDescent="0.2">
      <c r="A285" t="s">
        <v>694</v>
      </c>
      <c r="C285" s="139" t="s">
        <v>406</v>
      </c>
      <c r="D285">
        <v>0.127</v>
      </c>
      <c r="E285">
        <v>0.27500000000000002</v>
      </c>
      <c r="F285">
        <v>0.21299999999999999</v>
      </c>
      <c r="G285" s="247">
        <f t="shared" si="20"/>
        <v>179.42844030441043</v>
      </c>
      <c r="H285">
        <v>5249624060.1503763</v>
      </c>
      <c r="I285">
        <v>1667647058.8235295</v>
      </c>
      <c r="J285">
        <v>1667647058.8235295</v>
      </c>
      <c r="K285" s="195">
        <f t="shared" si="21"/>
        <v>6667022.5563909784</v>
      </c>
      <c r="L285" s="195">
        <f t="shared" si="22"/>
        <v>4586029.4117647065</v>
      </c>
      <c r="M285" s="195">
        <f t="shared" si="23"/>
        <v>3552088.2352941181</v>
      </c>
      <c r="N285" s="195">
        <f t="shared" si="24"/>
        <v>8138117.6470588241</v>
      </c>
      <c r="O285" s="243">
        <v>37157</v>
      </c>
      <c r="Q285" s="195"/>
      <c r="R285" s="139"/>
      <c r="S285" s="137"/>
      <c r="T285" s="247"/>
    </row>
    <row r="286" spans="1:20" x14ac:dyDescent="0.2">
      <c r="A286" t="s">
        <v>693</v>
      </c>
      <c r="C286" s="139" t="s">
        <v>211</v>
      </c>
      <c r="D286">
        <v>0.10730000000000001</v>
      </c>
      <c r="E286">
        <v>0.19189999999999999</v>
      </c>
      <c r="F286">
        <v>0.15440000000000001</v>
      </c>
      <c r="G286" s="247">
        <f t="shared" si="20"/>
        <v>234.09777732735967</v>
      </c>
      <c r="H286">
        <v>288640595.90316576</v>
      </c>
      <c r="I286">
        <v>48765803.732691139</v>
      </c>
      <c r="J286">
        <v>48765803.732691139</v>
      </c>
      <c r="K286" s="195">
        <f t="shared" si="21"/>
        <v>309711.35940409685</v>
      </c>
      <c r="L286" s="195">
        <f t="shared" si="22"/>
        <v>93581.577363034288</v>
      </c>
      <c r="M286" s="195">
        <f t="shared" si="23"/>
        <v>75294.400963275126</v>
      </c>
      <c r="N286" s="195">
        <f t="shared" si="24"/>
        <v>168875.97832630941</v>
      </c>
      <c r="O286" s="243">
        <v>1323</v>
      </c>
      <c r="Q286" s="195"/>
      <c r="R286" s="139"/>
      <c r="S286" s="137"/>
      <c r="T286" s="247"/>
    </row>
    <row r="287" spans="1:20" x14ac:dyDescent="0.2">
      <c r="A287" t="s">
        <v>699</v>
      </c>
      <c r="C287" s="139" t="s">
        <v>519</v>
      </c>
      <c r="D287">
        <v>0.16089999999999999</v>
      </c>
      <c r="E287">
        <v>0.21099999999999999</v>
      </c>
      <c r="F287">
        <v>0.21909999999999999</v>
      </c>
      <c r="G287" s="247">
        <f t="shared" si="20"/>
        <v>288.7676078092656</v>
      </c>
      <c r="H287">
        <v>1073411474.3985195</v>
      </c>
      <c r="I287">
        <v>130596149.38529344</v>
      </c>
      <c r="J287">
        <v>130596149.38529344</v>
      </c>
      <c r="K287" s="195">
        <f t="shared" si="21"/>
        <v>1727119.0623072176</v>
      </c>
      <c r="L287" s="195">
        <f t="shared" si="22"/>
        <v>275557.87520296918</v>
      </c>
      <c r="M287" s="195">
        <f t="shared" si="23"/>
        <v>286136.16330317792</v>
      </c>
      <c r="N287" s="195">
        <f t="shared" si="24"/>
        <v>561694.0385061471</v>
      </c>
      <c r="O287" s="243">
        <v>5981</v>
      </c>
      <c r="Q287" s="195"/>
      <c r="R287" s="139"/>
      <c r="S287" s="137"/>
      <c r="T287" s="247"/>
    </row>
    <row r="288" spans="1:20" x14ac:dyDescent="0.2">
      <c r="A288" t="s">
        <v>701</v>
      </c>
      <c r="C288" s="139" t="s">
        <v>428</v>
      </c>
      <c r="D288">
        <v>0.1328</v>
      </c>
      <c r="E288">
        <v>0.12859999999999999</v>
      </c>
      <c r="F288">
        <v>0.1094</v>
      </c>
      <c r="G288" s="247">
        <f t="shared" si="20"/>
        <v>196.992915277111</v>
      </c>
      <c r="H288">
        <v>4077961019.4902554</v>
      </c>
      <c r="I288">
        <v>980944131.65872669</v>
      </c>
      <c r="J288">
        <v>980944131.65872669</v>
      </c>
      <c r="K288" s="195">
        <f t="shared" si="21"/>
        <v>5415532.2338830587</v>
      </c>
      <c r="L288" s="195">
        <f t="shared" si="22"/>
        <v>1261494.1533131225</v>
      </c>
      <c r="M288" s="195">
        <f t="shared" si="23"/>
        <v>1073152.880034647</v>
      </c>
      <c r="N288" s="195">
        <f t="shared" si="24"/>
        <v>2334647.0333477696</v>
      </c>
      <c r="O288" s="243">
        <v>27491</v>
      </c>
      <c r="Q288" s="195"/>
      <c r="R288" s="139"/>
      <c r="S288" s="137"/>
      <c r="T288" s="247"/>
    </row>
    <row r="289" spans="1:20" x14ac:dyDescent="0.2">
      <c r="A289" t="s">
        <v>694</v>
      </c>
      <c r="C289" s="139" t="s">
        <v>546</v>
      </c>
      <c r="D289">
        <v>6.7699999999999996E-2</v>
      </c>
      <c r="E289">
        <v>0.2445</v>
      </c>
      <c r="F289">
        <v>0.20630000000000001</v>
      </c>
      <c r="G289" s="247">
        <f t="shared" si="20"/>
        <v>118.41366480928356</v>
      </c>
      <c r="H289">
        <v>45049490538.573509</v>
      </c>
      <c r="I289">
        <v>10341783612.494343</v>
      </c>
      <c r="J289">
        <v>10341783612.494343</v>
      </c>
      <c r="K289" s="195">
        <f t="shared" si="21"/>
        <v>30498505.094614264</v>
      </c>
      <c r="L289" s="195">
        <f t="shared" si="22"/>
        <v>25285660.932548665</v>
      </c>
      <c r="M289" s="195">
        <f t="shared" si="23"/>
        <v>21335099.592575833</v>
      </c>
      <c r="N289" s="195">
        <f t="shared" si="24"/>
        <v>46620760.525124498</v>
      </c>
      <c r="O289" s="243">
        <v>257559</v>
      </c>
      <c r="Q289" s="195"/>
      <c r="R289" s="139"/>
      <c r="S289" s="137"/>
      <c r="T289" s="247"/>
    </row>
    <row r="290" spans="1:20" x14ac:dyDescent="0.2">
      <c r="A290" t="s">
        <v>690</v>
      </c>
      <c r="C290" s="139" t="s">
        <v>597</v>
      </c>
      <c r="D290">
        <v>9.9599999999999994E-2</v>
      </c>
      <c r="E290">
        <v>0.28189999999999998</v>
      </c>
      <c r="F290">
        <v>0.2258</v>
      </c>
      <c r="G290" s="247">
        <f t="shared" si="20"/>
        <v>211.40353289845311</v>
      </c>
      <c r="H290">
        <v>15026418786.692759</v>
      </c>
      <c r="I290">
        <v>5119777732.0436306</v>
      </c>
      <c r="J290">
        <v>5119777732.0436306</v>
      </c>
      <c r="K290" s="195">
        <f t="shared" si="21"/>
        <v>14966313.111545987</v>
      </c>
      <c r="L290" s="195">
        <f t="shared" si="22"/>
        <v>14432653.426630992</v>
      </c>
      <c r="M290" s="195">
        <f t="shared" si="23"/>
        <v>11560458.118954517</v>
      </c>
      <c r="N290" s="195">
        <f t="shared" si="24"/>
        <v>25993111.545585509</v>
      </c>
      <c r="O290" s="243">
        <v>70795</v>
      </c>
      <c r="Q290" s="195"/>
      <c r="R290" s="139"/>
      <c r="S290" s="137"/>
      <c r="T290" s="247"/>
    </row>
    <row r="291" spans="1:20" x14ac:dyDescent="0.2">
      <c r="A291" t="s">
        <v>699</v>
      </c>
      <c r="C291" s="139" t="s">
        <v>520</v>
      </c>
      <c r="D291">
        <v>0.2011</v>
      </c>
      <c r="E291">
        <v>0.2011</v>
      </c>
      <c r="F291">
        <v>0.2011</v>
      </c>
      <c r="G291" s="247">
        <f t="shared" si="20"/>
        <v>295.72131768269594</v>
      </c>
      <c r="H291">
        <v>776727996.02187967</v>
      </c>
      <c r="I291">
        <v>118059299.19137466</v>
      </c>
      <c r="J291">
        <v>118059299.19137466</v>
      </c>
      <c r="K291" s="195">
        <f t="shared" si="21"/>
        <v>1562000</v>
      </c>
      <c r="L291" s="195">
        <f t="shared" si="22"/>
        <v>237417.25067385443</v>
      </c>
      <c r="M291" s="195">
        <f t="shared" si="23"/>
        <v>237417.25067385443</v>
      </c>
      <c r="N291" s="195">
        <f t="shared" si="24"/>
        <v>474834.50134770887</v>
      </c>
      <c r="O291" s="243">
        <v>5282</v>
      </c>
      <c r="Q291" s="195"/>
      <c r="R291" s="139"/>
      <c r="S291" s="137"/>
      <c r="T291" s="247"/>
    </row>
    <row r="292" spans="1:20" x14ac:dyDescent="0.2">
      <c r="A292" t="s">
        <v>690</v>
      </c>
      <c r="C292" s="139" t="s">
        <v>542</v>
      </c>
      <c r="D292">
        <v>0.13843</v>
      </c>
      <c r="E292">
        <v>0.25452000000000002</v>
      </c>
      <c r="F292">
        <v>0.21187</v>
      </c>
      <c r="G292" s="247">
        <f t="shared" si="20"/>
        <v>301.37058745561222</v>
      </c>
      <c r="H292">
        <v>1069154774.9725577</v>
      </c>
      <c r="I292">
        <v>396962123.60177612</v>
      </c>
      <c r="J292">
        <v>396962123.60177612</v>
      </c>
      <c r="K292" s="195">
        <f t="shared" si="21"/>
        <v>1480030.9549945116</v>
      </c>
      <c r="L292" s="195">
        <f t="shared" si="22"/>
        <v>1010347.9969912407</v>
      </c>
      <c r="M292" s="195">
        <f t="shared" si="23"/>
        <v>841043.65127508307</v>
      </c>
      <c r="N292" s="195">
        <f t="shared" si="24"/>
        <v>1851391.6482663238</v>
      </c>
      <c r="O292" s="243">
        <v>4911</v>
      </c>
      <c r="Q292" s="195"/>
      <c r="R292" s="139"/>
      <c r="S292" s="137"/>
      <c r="T292" s="247"/>
    </row>
    <row r="293" spans="1:20" x14ac:dyDescent="0.2">
      <c r="A293" t="s">
        <v>690</v>
      </c>
      <c r="C293" s="139" t="s">
        <v>480</v>
      </c>
      <c r="D293">
        <v>0.14099999999999999</v>
      </c>
      <c r="E293">
        <v>0.16500000000000001</v>
      </c>
      <c r="F293">
        <v>0.121</v>
      </c>
      <c r="G293" s="247">
        <f t="shared" si="20"/>
        <v>383.47754020010234</v>
      </c>
      <c r="H293">
        <v>3223387096.7741938</v>
      </c>
      <c r="I293">
        <v>336774193.54838711</v>
      </c>
      <c r="J293">
        <v>336774193.54838711</v>
      </c>
      <c r="K293" s="195">
        <f t="shared" si="21"/>
        <v>4544975.8064516131</v>
      </c>
      <c r="L293" s="195">
        <f t="shared" si="22"/>
        <v>555677.41935483878</v>
      </c>
      <c r="M293" s="195">
        <f t="shared" si="23"/>
        <v>407496.77419354842</v>
      </c>
      <c r="N293" s="195">
        <f t="shared" si="24"/>
        <v>963174.19354838715</v>
      </c>
      <c r="O293" s="243">
        <v>11852</v>
      </c>
      <c r="Q293" s="195"/>
      <c r="R293" s="139"/>
      <c r="S293" s="137"/>
      <c r="T293" s="247"/>
    </row>
    <row r="294" spans="1:20" x14ac:dyDescent="0.2">
      <c r="A294" t="s">
        <v>699</v>
      </c>
      <c r="C294" s="139" t="s">
        <v>521</v>
      </c>
      <c r="D294">
        <v>0.18240000000000001</v>
      </c>
      <c r="E294">
        <v>0.46010000000000001</v>
      </c>
      <c r="F294">
        <v>0.35089999999999999</v>
      </c>
      <c r="G294" s="247">
        <f t="shared" si="20"/>
        <v>268.68570558581223</v>
      </c>
      <c r="H294">
        <v>6872844827.5862064</v>
      </c>
      <c r="I294">
        <v>3324784186.1628923</v>
      </c>
      <c r="J294">
        <v>3324784186.1628923</v>
      </c>
      <c r="K294" s="195">
        <f t="shared" si="21"/>
        <v>12536068.965517242</v>
      </c>
      <c r="L294" s="195">
        <f t="shared" si="22"/>
        <v>15297332.040535469</v>
      </c>
      <c r="M294" s="195">
        <f t="shared" si="23"/>
        <v>11666667.709245589</v>
      </c>
      <c r="N294" s="195">
        <f t="shared" si="24"/>
        <v>26963999.749781057</v>
      </c>
      <c r="O294" s="243">
        <v>46657</v>
      </c>
      <c r="Q294" s="195"/>
      <c r="R294" s="139"/>
      <c r="S294" s="137"/>
      <c r="T294" s="247"/>
    </row>
    <row r="295" spans="1:20" x14ac:dyDescent="0.2">
      <c r="A295" t="s">
        <v>694</v>
      </c>
      <c r="C295" s="139" t="s">
        <v>407</v>
      </c>
      <c r="D295">
        <v>0.10580000000000001</v>
      </c>
      <c r="E295">
        <v>0.14319999999999999</v>
      </c>
      <c r="F295">
        <v>0.1114</v>
      </c>
      <c r="G295" s="247">
        <f t="shared" si="20"/>
        <v>165.65620223329216</v>
      </c>
      <c r="H295">
        <v>1779316712.8347185</v>
      </c>
      <c r="I295">
        <v>590483056.95746219</v>
      </c>
      <c r="J295">
        <v>590483056.95746219</v>
      </c>
      <c r="K295" s="195">
        <f t="shared" si="21"/>
        <v>1882517.0821791322</v>
      </c>
      <c r="L295" s="195">
        <f t="shared" si="22"/>
        <v>845571.73756308586</v>
      </c>
      <c r="M295" s="195">
        <f t="shared" si="23"/>
        <v>657798.12545061286</v>
      </c>
      <c r="N295" s="195">
        <f t="shared" si="24"/>
        <v>1503369.8630136987</v>
      </c>
      <c r="O295" s="243">
        <v>11364</v>
      </c>
      <c r="Q295" s="195"/>
      <c r="R295" s="139"/>
      <c r="S295" s="137"/>
      <c r="T295" s="247"/>
    </row>
    <row r="296" spans="1:20" x14ac:dyDescent="0.2">
      <c r="A296" t="s">
        <v>698</v>
      </c>
      <c r="C296" s="139" t="s">
        <v>190</v>
      </c>
      <c r="D296">
        <v>0.13869999999999999</v>
      </c>
      <c r="E296">
        <v>0.1842</v>
      </c>
      <c r="F296">
        <v>0.14849999999999999</v>
      </c>
      <c r="G296" s="247">
        <f t="shared" si="20"/>
        <v>229.96096853303854</v>
      </c>
      <c r="H296">
        <v>1129411764.7058823</v>
      </c>
      <c r="I296">
        <v>430500153.42129487</v>
      </c>
      <c r="J296">
        <v>430500153.42129487</v>
      </c>
      <c r="K296" s="195">
        <f t="shared" si="21"/>
        <v>1566494.1176470586</v>
      </c>
      <c r="L296" s="195">
        <f t="shared" si="22"/>
        <v>792981.28260202508</v>
      </c>
      <c r="M296" s="195">
        <f t="shared" si="23"/>
        <v>639292.72783062281</v>
      </c>
      <c r="N296" s="195">
        <f t="shared" si="24"/>
        <v>1432274.010432648</v>
      </c>
      <c r="O296" s="243">
        <v>6812</v>
      </c>
      <c r="Q296" s="195"/>
      <c r="R296" s="139"/>
      <c r="S296" s="137"/>
      <c r="T296" s="247"/>
    </row>
    <row r="297" spans="1:20" x14ac:dyDescent="0.2">
      <c r="A297" t="s">
        <v>701</v>
      </c>
      <c r="C297" s="139" t="s">
        <v>429</v>
      </c>
      <c r="D297">
        <v>0.1157</v>
      </c>
      <c r="E297">
        <v>0.1857</v>
      </c>
      <c r="F297">
        <v>0.1515</v>
      </c>
      <c r="G297" s="247">
        <f t="shared" si="20"/>
        <v>194.52390799917455</v>
      </c>
      <c r="H297">
        <v>2917186108.637578</v>
      </c>
      <c r="I297">
        <v>675717371.18173397</v>
      </c>
      <c r="J297">
        <v>675717371.18173397</v>
      </c>
      <c r="K297" s="195">
        <f t="shared" si="21"/>
        <v>3375184.3276936775</v>
      </c>
      <c r="L297" s="195">
        <f t="shared" si="22"/>
        <v>1254807.15828448</v>
      </c>
      <c r="M297" s="195">
        <f t="shared" si="23"/>
        <v>1023711.817340327</v>
      </c>
      <c r="N297" s="195">
        <f t="shared" si="24"/>
        <v>2278518.9756248072</v>
      </c>
      <c r="O297" s="243">
        <v>17351</v>
      </c>
      <c r="Q297" s="195"/>
      <c r="R297" s="139"/>
      <c r="S297" s="137"/>
      <c r="T297" s="247"/>
    </row>
    <row r="298" spans="1:20" x14ac:dyDescent="0.2">
      <c r="A298" t="s">
        <v>693</v>
      </c>
      <c r="C298" s="139" t="s">
        <v>212</v>
      </c>
      <c r="D298">
        <v>0.15129999999999999</v>
      </c>
      <c r="E298">
        <v>0.30640000000000001</v>
      </c>
      <c r="F298">
        <v>0.24510000000000001</v>
      </c>
      <c r="G298" s="247">
        <f t="shared" si="20"/>
        <v>224.82465576630926</v>
      </c>
      <c r="H298">
        <v>3845794392.5233645</v>
      </c>
      <c r="I298">
        <v>1302436239.0559576</v>
      </c>
      <c r="J298">
        <v>1302436239.0559576</v>
      </c>
      <c r="K298" s="195">
        <f t="shared" si="21"/>
        <v>5818686.9158878503</v>
      </c>
      <c r="L298" s="195">
        <f t="shared" si="22"/>
        <v>3990664.636467454</v>
      </c>
      <c r="M298" s="195">
        <f t="shared" si="23"/>
        <v>3192271.2219261522</v>
      </c>
      <c r="N298" s="195">
        <f t="shared" si="24"/>
        <v>7182935.8583936058</v>
      </c>
      <c r="O298" s="243">
        <v>25881</v>
      </c>
      <c r="Q298" s="195"/>
      <c r="R298" s="139"/>
      <c r="S298" s="137"/>
      <c r="T298" s="247"/>
    </row>
    <row r="299" spans="1:20" x14ac:dyDescent="0.2">
      <c r="A299" t="s">
        <v>697</v>
      </c>
      <c r="C299" s="139" t="s">
        <v>309</v>
      </c>
      <c r="D299">
        <v>9.2200000000000004E-2</v>
      </c>
      <c r="E299">
        <v>0.18529999999999999</v>
      </c>
      <c r="F299">
        <v>0.1517</v>
      </c>
      <c r="G299" s="247">
        <f t="shared" si="20"/>
        <v>231.48737935522976</v>
      </c>
      <c r="H299">
        <v>5175324675.3246756</v>
      </c>
      <c r="I299">
        <v>903215636.8221941</v>
      </c>
      <c r="J299">
        <v>903215636.8221941</v>
      </c>
      <c r="K299" s="195">
        <f t="shared" si="21"/>
        <v>4771649.3506493513</v>
      </c>
      <c r="L299" s="195">
        <f t="shared" si="22"/>
        <v>1673658.5750315255</v>
      </c>
      <c r="M299" s="195">
        <f t="shared" si="23"/>
        <v>1370178.1210592685</v>
      </c>
      <c r="N299" s="195">
        <f t="shared" si="24"/>
        <v>3043836.6960907942</v>
      </c>
      <c r="O299" s="243">
        <v>20613</v>
      </c>
      <c r="Q299" s="195"/>
      <c r="R299" s="139"/>
      <c r="S299" s="137"/>
      <c r="T299" s="247"/>
    </row>
    <row r="300" spans="1:20" x14ac:dyDescent="0.2">
      <c r="A300" t="s">
        <v>690</v>
      </c>
      <c r="C300" s="139" t="s">
        <v>482</v>
      </c>
      <c r="D300">
        <v>0.12570000000000001</v>
      </c>
      <c r="E300">
        <v>0.17480000000000001</v>
      </c>
      <c r="F300">
        <v>0.1658</v>
      </c>
      <c r="G300" s="247">
        <f t="shared" si="20"/>
        <v>305.58417997097246</v>
      </c>
      <c r="H300">
        <v>1906923076.9230769</v>
      </c>
      <c r="I300">
        <v>525142857.14285719</v>
      </c>
      <c r="J300">
        <v>525142857.14285719</v>
      </c>
      <c r="K300" s="195">
        <f t="shared" si="21"/>
        <v>2397002.307692308</v>
      </c>
      <c r="L300" s="195">
        <f t="shared" si="22"/>
        <v>917949.71428571444</v>
      </c>
      <c r="M300" s="195">
        <f t="shared" si="23"/>
        <v>870686.85714285728</v>
      </c>
      <c r="N300" s="195">
        <f t="shared" si="24"/>
        <v>1788636.5714285718</v>
      </c>
      <c r="O300" s="243">
        <v>7844</v>
      </c>
      <c r="Q300" s="195"/>
      <c r="R300" s="139"/>
      <c r="S300" s="137"/>
      <c r="T300" s="247"/>
    </row>
    <row r="301" spans="1:20" x14ac:dyDescent="0.2">
      <c r="A301" t="s">
        <v>690</v>
      </c>
      <c r="C301" s="139" t="s">
        <v>483</v>
      </c>
      <c r="D301">
        <v>9.3200000000000005E-2</v>
      </c>
      <c r="E301">
        <v>0.14219999999999999</v>
      </c>
      <c r="F301">
        <v>0.12720000000000001</v>
      </c>
      <c r="G301" s="247">
        <f t="shared" si="20"/>
        <v>260.81343967357697</v>
      </c>
      <c r="H301">
        <v>1939590075.5124054</v>
      </c>
      <c r="I301">
        <v>667177326.69475293</v>
      </c>
      <c r="J301">
        <v>667177326.69475293</v>
      </c>
      <c r="K301" s="195">
        <f t="shared" si="21"/>
        <v>1807697.9503775621</v>
      </c>
      <c r="L301" s="195">
        <f t="shared" si="22"/>
        <v>948726.15855993866</v>
      </c>
      <c r="M301" s="195">
        <f t="shared" si="23"/>
        <v>848649.55955572578</v>
      </c>
      <c r="N301" s="195">
        <f t="shared" si="24"/>
        <v>1797375.7181156646</v>
      </c>
      <c r="O301" s="243">
        <v>6931</v>
      </c>
      <c r="Q301" s="195"/>
      <c r="R301" s="139"/>
      <c r="S301" s="137"/>
      <c r="T301" s="247"/>
    </row>
    <row r="302" spans="1:20" x14ac:dyDescent="0.2">
      <c r="A302" t="s">
        <v>698</v>
      </c>
      <c r="C302" s="139" t="s">
        <v>191</v>
      </c>
      <c r="D302">
        <v>0.16259999999999999</v>
      </c>
      <c r="E302">
        <v>0.29360000000000003</v>
      </c>
      <c r="F302">
        <v>0.25609999999999999</v>
      </c>
      <c r="G302" s="247">
        <f t="shared" si="20"/>
        <v>208.64777785736013</v>
      </c>
      <c r="H302">
        <v>1994215938.3033421</v>
      </c>
      <c r="I302">
        <v>441078757.08422905</v>
      </c>
      <c r="J302">
        <v>441078757.08422905</v>
      </c>
      <c r="K302" s="195">
        <f t="shared" si="21"/>
        <v>3242595.1156812338</v>
      </c>
      <c r="L302" s="195">
        <f t="shared" si="22"/>
        <v>1295007.2307992966</v>
      </c>
      <c r="M302" s="195">
        <f t="shared" si="23"/>
        <v>1129602.6968927106</v>
      </c>
      <c r="N302" s="195">
        <f t="shared" si="24"/>
        <v>2424609.9276920073</v>
      </c>
      <c r="O302" s="243">
        <v>15541</v>
      </c>
      <c r="Q302" s="195"/>
      <c r="R302" s="139"/>
      <c r="S302" s="137"/>
      <c r="T302" s="247"/>
    </row>
    <row r="303" spans="1:20" x14ac:dyDescent="0.2">
      <c r="A303" t="s">
        <v>695</v>
      </c>
      <c r="C303" s="139" t="s">
        <v>234</v>
      </c>
      <c r="D303">
        <v>0.1051</v>
      </c>
      <c r="E303">
        <v>0.15840000000000001</v>
      </c>
      <c r="F303">
        <v>0.12720000000000001</v>
      </c>
      <c r="G303" s="247">
        <f t="shared" si="20"/>
        <v>227.93701140576658</v>
      </c>
      <c r="H303">
        <v>1290630975.1434033</v>
      </c>
      <c r="I303">
        <v>478620194.03521383</v>
      </c>
      <c r="J303">
        <v>478620194.03521383</v>
      </c>
      <c r="K303" s="195">
        <f t="shared" si="21"/>
        <v>1356453.1548757169</v>
      </c>
      <c r="L303" s="195">
        <f t="shared" si="22"/>
        <v>758134.3873517788</v>
      </c>
      <c r="M303" s="195">
        <f t="shared" si="23"/>
        <v>608804.88681279204</v>
      </c>
      <c r="N303" s="195">
        <f t="shared" si="24"/>
        <v>1366939.274164571</v>
      </c>
      <c r="O303" s="243">
        <v>5951</v>
      </c>
      <c r="Q303" s="195"/>
      <c r="R303" s="139"/>
      <c r="S303" s="137"/>
      <c r="T303" s="247"/>
    </row>
    <row r="304" spans="1:20" x14ac:dyDescent="0.2">
      <c r="A304" t="s">
        <v>691</v>
      </c>
      <c r="C304" s="139" t="s">
        <v>353</v>
      </c>
      <c r="D304">
        <v>0.13059999999999999</v>
      </c>
      <c r="E304">
        <v>0.13569999999999999</v>
      </c>
      <c r="F304">
        <v>0.1109</v>
      </c>
      <c r="G304" s="247">
        <f t="shared" si="20"/>
        <v>229.49087968117206</v>
      </c>
      <c r="H304">
        <v>1591324200.9132421</v>
      </c>
      <c r="I304">
        <v>270105605.19902521</v>
      </c>
      <c r="J304">
        <v>270105605.19902521</v>
      </c>
      <c r="K304" s="195">
        <f t="shared" si="21"/>
        <v>2078269.4063926942</v>
      </c>
      <c r="L304" s="195">
        <f t="shared" si="22"/>
        <v>366533.30625507719</v>
      </c>
      <c r="M304" s="195">
        <f t="shared" si="23"/>
        <v>299547.11616571894</v>
      </c>
      <c r="N304" s="195">
        <f t="shared" si="24"/>
        <v>666080.42242079612</v>
      </c>
      <c r="O304" s="243">
        <v>9056</v>
      </c>
      <c r="Q304" s="195"/>
      <c r="R304" s="139"/>
      <c r="S304" s="137"/>
      <c r="T304" s="247"/>
    </row>
    <row r="305" spans="1:20" x14ac:dyDescent="0.2">
      <c r="A305" t="s">
        <v>690</v>
      </c>
      <c r="C305" s="139" t="s">
        <v>484</v>
      </c>
      <c r="D305">
        <v>0.1328</v>
      </c>
      <c r="E305">
        <v>0.16439999999999999</v>
      </c>
      <c r="F305">
        <v>0.13270000000000001</v>
      </c>
      <c r="G305" s="247">
        <f t="shared" si="20"/>
        <v>257.98330722230628</v>
      </c>
      <c r="H305">
        <v>1966539923.9543724</v>
      </c>
      <c r="I305">
        <v>555950266.42984021</v>
      </c>
      <c r="J305">
        <v>555950266.42984021</v>
      </c>
      <c r="K305" s="195">
        <f t="shared" si="21"/>
        <v>2611565.0190114067</v>
      </c>
      <c r="L305" s="195">
        <f t="shared" si="22"/>
        <v>913982.23801065725</v>
      </c>
      <c r="M305" s="195">
        <f t="shared" si="23"/>
        <v>737746.00355239806</v>
      </c>
      <c r="N305" s="195">
        <f t="shared" si="24"/>
        <v>1651728.2415630552</v>
      </c>
      <c r="O305" s="243">
        <v>10123</v>
      </c>
      <c r="Q305" s="195"/>
      <c r="R305" s="139"/>
      <c r="S305" s="137"/>
      <c r="T305" s="247"/>
    </row>
    <row r="306" spans="1:20" x14ac:dyDescent="0.2">
      <c r="A306" t="s">
        <v>695</v>
      </c>
      <c r="C306" s="139" t="s">
        <v>235</v>
      </c>
      <c r="D306">
        <v>0.1104</v>
      </c>
      <c r="E306">
        <v>0.18279999999999999</v>
      </c>
      <c r="F306">
        <v>0.14779999999999999</v>
      </c>
      <c r="G306" s="247">
        <f t="shared" si="20"/>
        <v>197.97758405977584</v>
      </c>
      <c r="H306">
        <v>3665454545.4545455</v>
      </c>
      <c r="I306">
        <v>982932032.91679358</v>
      </c>
      <c r="J306">
        <v>982932032.91679358</v>
      </c>
      <c r="K306" s="195">
        <f t="shared" si="21"/>
        <v>4046661.8181818184</v>
      </c>
      <c r="L306" s="195">
        <f t="shared" si="22"/>
        <v>1796799.7561718985</v>
      </c>
      <c r="M306" s="195">
        <f t="shared" si="23"/>
        <v>1452773.5446510208</v>
      </c>
      <c r="N306" s="195">
        <f t="shared" si="24"/>
        <v>3249573.3008229192</v>
      </c>
      <c r="O306" s="243">
        <v>20440</v>
      </c>
      <c r="Q306" s="195"/>
      <c r="R306" s="139"/>
      <c r="S306" s="137"/>
      <c r="T306" s="247"/>
    </row>
    <row r="307" spans="1:20" x14ac:dyDescent="0.2">
      <c r="A307" t="s">
        <v>699</v>
      </c>
      <c r="C307" s="139" t="s">
        <v>522</v>
      </c>
      <c r="D307">
        <v>0.1709</v>
      </c>
      <c r="E307">
        <v>0.30320000000000003</v>
      </c>
      <c r="F307">
        <v>0.25509999999999999</v>
      </c>
      <c r="G307" s="247">
        <f t="shared" si="20"/>
        <v>286.06070949881627</v>
      </c>
      <c r="H307">
        <v>1948359659.7812879</v>
      </c>
      <c r="I307">
        <v>303813038.13038129</v>
      </c>
      <c r="J307">
        <v>303813038.13038129</v>
      </c>
      <c r="K307" s="195">
        <f t="shared" si="21"/>
        <v>3329746.6585662211</v>
      </c>
      <c r="L307" s="195">
        <f t="shared" si="22"/>
        <v>921161.13161131623</v>
      </c>
      <c r="M307" s="195">
        <f t="shared" si="23"/>
        <v>775027.0602706027</v>
      </c>
      <c r="N307" s="195">
        <f t="shared" si="24"/>
        <v>1696188.1918819188</v>
      </c>
      <c r="O307" s="243">
        <v>11640</v>
      </c>
      <c r="Q307" s="195"/>
      <c r="R307" s="139"/>
      <c r="S307" s="137"/>
      <c r="T307" s="247"/>
    </row>
    <row r="308" spans="1:20" x14ac:dyDescent="0.2">
      <c r="A308" t="s">
        <v>697</v>
      </c>
      <c r="C308" s="139" t="s">
        <v>310</v>
      </c>
      <c r="D308">
        <v>0.13639000000000001</v>
      </c>
      <c r="E308">
        <v>0.20241000000000001</v>
      </c>
      <c r="F308">
        <v>0.15901999999999999</v>
      </c>
      <c r="G308" s="247">
        <f t="shared" si="20"/>
        <v>337.60625349178321</v>
      </c>
      <c r="H308">
        <v>6980100258.2409229</v>
      </c>
      <c r="I308">
        <v>769112962.50918901</v>
      </c>
      <c r="J308">
        <v>769112962.50918901</v>
      </c>
      <c r="K308" s="195">
        <f t="shared" si="21"/>
        <v>9520158.7422147952</v>
      </c>
      <c r="L308" s="195">
        <f t="shared" si="22"/>
        <v>1556761.5474148495</v>
      </c>
      <c r="M308" s="195">
        <f t="shared" si="23"/>
        <v>1223043.4329821123</v>
      </c>
      <c r="N308" s="195">
        <f t="shared" si="24"/>
        <v>2779804.9803969618</v>
      </c>
      <c r="O308" s="243">
        <v>28199</v>
      </c>
      <c r="Q308" s="195"/>
      <c r="R308" s="139"/>
      <c r="S308" s="137"/>
      <c r="T308" s="247"/>
    </row>
    <row r="309" spans="1:20" x14ac:dyDescent="0.2">
      <c r="A309" t="s">
        <v>694</v>
      </c>
      <c r="C309" s="139" t="s">
        <v>408</v>
      </c>
      <c r="D309">
        <v>9.98E-2</v>
      </c>
      <c r="E309">
        <v>0.1973</v>
      </c>
      <c r="F309">
        <v>0.1623</v>
      </c>
      <c r="G309" s="247">
        <f t="shared" si="20"/>
        <v>190.08005504936625</v>
      </c>
      <c r="H309">
        <v>746987951.80722892</v>
      </c>
      <c r="I309">
        <v>174907116.3189483</v>
      </c>
      <c r="J309">
        <v>174907116.3189483</v>
      </c>
      <c r="K309" s="195">
        <f t="shared" si="21"/>
        <v>745493.97590361442</v>
      </c>
      <c r="L309" s="195">
        <f t="shared" si="22"/>
        <v>345091.74049728498</v>
      </c>
      <c r="M309" s="195">
        <f t="shared" si="23"/>
        <v>283874.24978565308</v>
      </c>
      <c r="N309" s="195">
        <f t="shared" si="24"/>
        <v>628965.99028293812</v>
      </c>
      <c r="O309" s="243">
        <v>3922</v>
      </c>
      <c r="Q309" s="195"/>
      <c r="R309" s="139"/>
      <c r="S309" s="137"/>
      <c r="T309" s="247"/>
    </row>
    <row r="310" spans="1:20" x14ac:dyDescent="0.2">
      <c r="A310" t="s">
        <v>693</v>
      </c>
      <c r="C310" s="139" t="s">
        <v>543</v>
      </c>
      <c r="D310">
        <v>0.14649999999999999</v>
      </c>
      <c r="E310">
        <v>0.29909999999999998</v>
      </c>
      <c r="F310">
        <v>0.24</v>
      </c>
      <c r="G310" s="247">
        <f t="shared" si="20"/>
        <v>235.30320022244362</v>
      </c>
      <c r="H310">
        <v>6481197771.5877438</v>
      </c>
      <c r="I310">
        <v>2105852417.3027987</v>
      </c>
      <c r="J310">
        <v>2105852417.3027987</v>
      </c>
      <c r="K310" s="195">
        <f t="shared" si="21"/>
        <v>9494954.7353760451</v>
      </c>
      <c r="L310" s="195">
        <f t="shared" si="22"/>
        <v>6298604.5801526699</v>
      </c>
      <c r="M310" s="195">
        <f t="shared" si="23"/>
        <v>5054045.8015267169</v>
      </c>
      <c r="N310" s="195">
        <f t="shared" si="24"/>
        <v>11352650.381679386</v>
      </c>
      <c r="O310" s="243">
        <v>40352</v>
      </c>
      <c r="Q310" s="195"/>
      <c r="R310" s="139"/>
      <c r="S310" s="137"/>
      <c r="T310" s="247"/>
    </row>
    <row r="311" spans="1:20" x14ac:dyDescent="0.2">
      <c r="A311" t="s">
        <v>698</v>
      </c>
      <c r="C311" s="139" t="s">
        <v>192</v>
      </c>
      <c r="D311">
        <v>0.19239999999999999</v>
      </c>
      <c r="E311">
        <v>0.3342</v>
      </c>
      <c r="F311">
        <v>0.25030000000000002</v>
      </c>
      <c r="G311" s="247">
        <f t="shared" si="20"/>
        <v>294.55870711415804</v>
      </c>
      <c r="H311">
        <v>476744186.04651159</v>
      </c>
      <c r="I311">
        <v>119229371.13776807</v>
      </c>
      <c r="J311">
        <v>119229371.13776807</v>
      </c>
      <c r="K311" s="195">
        <f t="shared" si="21"/>
        <v>917255.81395348813</v>
      </c>
      <c r="L311" s="195">
        <f t="shared" si="22"/>
        <v>398464.5583424209</v>
      </c>
      <c r="M311" s="195">
        <f t="shared" si="23"/>
        <v>298431.11595783354</v>
      </c>
      <c r="N311" s="195">
        <f t="shared" si="24"/>
        <v>696895.67430025444</v>
      </c>
      <c r="O311" s="243">
        <v>3114</v>
      </c>
      <c r="Q311" s="195"/>
      <c r="R311" s="139"/>
      <c r="S311" s="137"/>
      <c r="T311" s="247"/>
    </row>
    <row r="312" spans="1:20" x14ac:dyDescent="0.2">
      <c r="A312" t="s">
        <v>701</v>
      </c>
      <c r="C312" s="139" t="s">
        <v>430</v>
      </c>
      <c r="D312">
        <v>0.15140000000000001</v>
      </c>
      <c r="E312">
        <v>0.26540000000000002</v>
      </c>
      <c r="F312">
        <v>0.21310000000000001</v>
      </c>
      <c r="G312" s="247">
        <f t="shared" si="20"/>
        <v>230.67004811693147</v>
      </c>
      <c r="H312">
        <v>4086394557.8231297</v>
      </c>
      <c r="I312">
        <v>2024135681.6699286</v>
      </c>
      <c r="J312">
        <v>2024135681.6699286</v>
      </c>
      <c r="K312" s="195">
        <f t="shared" si="21"/>
        <v>6186801.3605442187</v>
      </c>
      <c r="L312" s="195">
        <f t="shared" si="22"/>
        <v>5372056.0991519904</v>
      </c>
      <c r="M312" s="195">
        <f t="shared" si="23"/>
        <v>4313433.1376386173</v>
      </c>
      <c r="N312" s="195">
        <f t="shared" si="24"/>
        <v>9685489.2367906086</v>
      </c>
      <c r="O312" s="243">
        <v>26821</v>
      </c>
      <c r="Q312" s="195"/>
      <c r="R312" s="139"/>
      <c r="S312" s="137"/>
      <c r="T312" s="247"/>
    </row>
    <row r="313" spans="1:20" x14ac:dyDescent="0.2">
      <c r="A313" t="s">
        <v>693</v>
      </c>
      <c r="C313" s="139" t="s">
        <v>213</v>
      </c>
      <c r="D313">
        <v>9.4E-2</v>
      </c>
      <c r="E313">
        <v>0.15</v>
      </c>
      <c r="F313">
        <v>0.125</v>
      </c>
      <c r="G313" s="247">
        <f t="shared" si="20"/>
        <v>217.92672393109075</v>
      </c>
      <c r="H313">
        <v>849450549.45054948</v>
      </c>
      <c r="I313">
        <v>217803030.30303028</v>
      </c>
      <c r="J313">
        <v>217803030.30303028</v>
      </c>
      <c r="K313" s="195">
        <f t="shared" si="21"/>
        <v>798483.51648351655</v>
      </c>
      <c r="L313" s="195">
        <f t="shared" si="22"/>
        <v>326704.54545454541</v>
      </c>
      <c r="M313" s="195">
        <f t="shared" si="23"/>
        <v>272253.78787878784</v>
      </c>
      <c r="N313" s="195">
        <f t="shared" si="24"/>
        <v>598958.33333333326</v>
      </c>
      <c r="O313" s="243">
        <v>3664</v>
      </c>
      <c r="Q313" s="195"/>
      <c r="R313" s="139"/>
      <c r="S313" s="137"/>
      <c r="T313" s="247"/>
    </row>
    <row r="314" spans="1:20" x14ac:dyDescent="0.2">
      <c r="A314" t="s">
        <v>691</v>
      </c>
      <c r="C314" s="139" t="s">
        <v>354</v>
      </c>
      <c r="D314">
        <v>4.53E-2</v>
      </c>
      <c r="E314">
        <v>7.4999999999999997E-2</v>
      </c>
      <c r="F314">
        <v>5.9200000000000003E-2</v>
      </c>
      <c r="G314" s="247">
        <f t="shared" si="20"/>
        <v>92.217765768546542</v>
      </c>
      <c r="H314">
        <v>2153172866.5207877</v>
      </c>
      <c r="I314">
        <v>710506424.79213905</v>
      </c>
      <c r="J314">
        <v>710506424.79213905</v>
      </c>
      <c r="K314" s="195">
        <f t="shared" si="21"/>
        <v>975387.30853391672</v>
      </c>
      <c r="L314" s="195">
        <f t="shared" si="22"/>
        <v>532879.81859410426</v>
      </c>
      <c r="M314" s="195">
        <f t="shared" si="23"/>
        <v>420619.80347694637</v>
      </c>
      <c r="N314" s="195">
        <f t="shared" si="24"/>
        <v>953499.62207105057</v>
      </c>
      <c r="O314" s="243">
        <v>10577</v>
      </c>
      <c r="Q314" s="195"/>
      <c r="R314" s="139"/>
      <c r="S314" s="137"/>
      <c r="T314" s="247"/>
    </row>
    <row r="315" spans="1:20" x14ac:dyDescent="0.2">
      <c r="A315" t="s">
        <v>694</v>
      </c>
      <c r="C315" s="139" t="s">
        <v>409</v>
      </c>
      <c r="D315">
        <v>7.9299999999999995E-2</v>
      </c>
      <c r="E315">
        <v>0.17</v>
      </c>
      <c r="F315">
        <v>0.13669999999999999</v>
      </c>
      <c r="G315" s="247">
        <f t="shared" si="20"/>
        <v>217.69667986234188</v>
      </c>
      <c r="H315">
        <v>4201024327.7848907</v>
      </c>
      <c r="I315">
        <v>755239224.99011469</v>
      </c>
      <c r="J315">
        <v>755239224.99011469</v>
      </c>
      <c r="K315" s="195">
        <f t="shared" si="21"/>
        <v>3331412.2919334178</v>
      </c>
      <c r="L315" s="195">
        <f t="shared" si="22"/>
        <v>1283906.6824831951</v>
      </c>
      <c r="M315" s="195">
        <f t="shared" si="23"/>
        <v>1032412.0205614866</v>
      </c>
      <c r="N315" s="195">
        <f t="shared" si="24"/>
        <v>2316318.7030446818</v>
      </c>
      <c r="O315" s="243">
        <v>15303</v>
      </c>
      <c r="Q315" s="195"/>
      <c r="R315" s="139"/>
      <c r="S315" s="137"/>
      <c r="T315" s="247"/>
    </row>
    <row r="316" spans="1:20" x14ac:dyDescent="0.2">
      <c r="A316" t="s">
        <v>701</v>
      </c>
      <c r="C316" s="139" t="s">
        <v>431</v>
      </c>
      <c r="D316">
        <v>0.1142</v>
      </c>
      <c r="E316">
        <v>0.2084</v>
      </c>
      <c r="F316">
        <v>0.16850000000000001</v>
      </c>
      <c r="G316" s="247">
        <f t="shared" si="20"/>
        <v>195.17772169628878</v>
      </c>
      <c r="H316">
        <v>1881875563.5707843</v>
      </c>
      <c r="I316">
        <v>498870056.49717516</v>
      </c>
      <c r="J316">
        <v>498870056.49717516</v>
      </c>
      <c r="K316" s="195">
        <f t="shared" si="21"/>
        <v>2149101.8935978357</v>
      </c>
      <c r="L316" s="195">
        <f t="shared" si="22"/>
        <v>1039645.197740113</v>
      </c>
      <c r="M316" s="195">
        <f t="shared" si="23"/>
        <v>840596.0451977402</v>
      </c>
      <c r="N316" s="195">
        <f t="shared" si="24"/>
        <v>1880241.2429378531</v>
      </c>
      <c r="O316" s="243">
        <v>11011</v>
      </c>
      <c r="Q316" s="195"/>
      <c r="R316" s="139"/>
      <c r="S316" s="137"/>
      <c r="T316" s="247"/>
    </row>
    <row r="317" spans="1:20" x14ac:dyDescent="0.2">
      <c r="A317" t="s">
        <v>692</v>
      </c>
      <c r="C317" s="139" t="s">
        <v>284</v>
      </c>
      <c r="D317">
        <v>0.1174</v>
      </c>
      <c r="E317">
        <v>0.23799999999999999</v>
      </c>
      <c r="F317">
        <v>0.1794</v>
      </c>
      <c r="G317" s="247">
        <f t="shared" si="20"/>
        <v>206.93004734761422</v>
      </c>
      <c r="H317">
        <v>3151541095.8904109</v>
      </c>
      <c r="I317">
        <v>692537313.43283582</v>
      </c>
      <c r="J317">
        <v>692537313.43283582</v>
      </c>
      <c r="K317" s="195">
        <f t="shared" si="21"/>
        <v>3699909.2465753425</v>
      </c>
      <c r="L317" s="195">
        <f t="shared" si="22"/>
        <v>1648238.8059701491</v>
      </c>
      <c r="M317" s="195">
        <f t="shared" si="23"/>
        <v>1242411.9402985075</v>
      </c>
      <c r="N317" s="195">
        <f t="shared" si="24"/>
        <v>2890650.7462686566</v>
      </c>
      <c r="O317" s="243">
        <v>17880</v>
      </c>
      <c r="Q317" s="195"/>
      <c r="R317" s="139"/>
      <c r="S317" s="137"/>
      <c r="T317" s="247"/>
    </row>
    <row r="318" spans="1:20" x14ac:dyDescent="0.2">
      <c r="A318" t="s">
        <v>690</v>
      </c>
      <c r="C318" s="139" t="s">
        <v>485</v>
      </c>
      <c r="D318">
        <v>0.105</v>
      </c>
      <c r="E318">
        <v>0.19900000000000001</v>
      </c>
      <c r="F318">
        <v>0.1686</v>
      </c>
      <c r="G318" s="247">
        <f t="shared" si="20"/>
        <v>180.02994586621824</v>
      </c>
      <c r="H318">
        <v>17086384976.525822</v>
      </c>
      <c r="I318">
        <v>5998593134.4963427</v>
      </c>
      <c r="J318">
        <v>5998593134.4963427</v>
      </c>
      <c r="K318" s="195">
        <f t="shared" si="21"/>
        <v>17940704.225352112</v>
      </c>
      <c r="L318" s="195">
        <f t="shared" si="22"/>
        <v>11937200.337647721</v>
      </c>
      <c r="M318" s="195">
        <f t="shared" si="23"/>
        <v>10113628.024760835</v>
      </c>
      <c r="N318" s="195">
        <f t="shared" si="24"/>
        <v>22050828.362408556</v>
      </c>
      <c r="O318" s="243">
        <v>99654</v>
      </c>
      <c r="Q318" s="195"/>
      <c r="R318" s="139"/>
      <c r="S318" s="137"/>
      <c r="T318" s="247"/>
    </row>
    <row r="319" spans="1:20" x14ac:dyDescent="0.2">
      <c r="A319" t="s">
        <v>695</v>
      </c>
      <c r="C319" s="139" t="s">
        <v>236</v>
      </c>
      <c r="D319">
        <v>0.1273</v>
      </c>
      <c r="E319">
        <v>0.15659999999999999</v>
      </c>
      <c r="F319">
        <v>0.12559999999999999</v>
      </c>
      <c r="G319" s="247">
        <f t="shared" si="20"/>
        <v>264.5040500450005</v>
      </c>
      <c r="H319">
        <v>1739534883.7209303</v>
      </c>
      <c r="I319">
        <v>687411598.30268729</v>
      </c>
      <c r="J319">
        <v>687411598.30268729</v>
      </c>
      <c r="K319" s="195">
        <f t="shared" si="21"/>
        <v>2214427.9069767441</v>
      </c>
      <c r="L319" s="195">
        <f t="shared" si="22"/>
        <v>1076486.5629420083</v>
      </c>
      <c r="M319" s="195">
        <f t="shared" si="23"/>
        <v>863388.96746817511</v>
      </c>
      <c r="N319" s="195">
        <f t="shared" si="24"/>
        <v>1939875.5304101834</v>
      </c>
      <c r="O319" s="243">
        <v>8372</v>
      </c>
      <c r="Q319" s="195"/>
      <c r="R319" s="139"/>
      <c r="S319" s="137"/>
      <c r="T319" s="247"/>
    </row>
    <row r="320" spans="1:20" x14ac:dyDescent="0.2">
      <c r="A320" t="s">
        <v>695</v>
      </c>
      <c r="C320" s="139" t="s">
        <v>237</v>
      </c>
      <c r="D320">
        <v>0.12740000000000001</v>
      </c>
      <c r="E320">
        <v>0.16159999999999999</v>
      </c>
      <c r="F320">
        <v>0.12989999999999999</v>
      </c>
      <c r="G320" s="247">
        <f t="shared" si="20"/>
        <v>232.48130423000674</v>
      </c>
      <c r="H320">
        <v>2510761589.4039736</v>
      </c>
      <c r="I320">
        <v>547735191.63763058</v>
      </c>
      <c r="J320">
        <v>547735191.63763058</v>
      </c>
      <c r="K320" s="195">
        <f t="shared" si="21"/>
        <v>3198710.2649006629</v>
      </c>
      <c r="L320" s="195">
        <f t="shared" si="22"/>
        <v>885140.06968641107</v>
      </c>
      <c r="M320" s="195">
        <f t="shared" si="23"/>
        <v>711508.01393728214</v>
      </c>
      <c r="N320" s="195">
        <f t="shared" si="24"/>
        <v>1596648.0836236933</v>
      </c>
      <c r="O320" s="243">
        <v>13759</v>
      </c>
      <c r="Q320" s="195"/>
      <c r="R320" s="139"/>
      <c r="S320" s="137"/>
      <c r="T320" s="247"/>
    </row>
    <row r="321" spans="1:20" x14ac:dyDescent="0.2">
      <c r="A321" t="s">
        <v>689</v>
      </c>
      <c r="C321" s="139" t="s">
        <v>170</v>
      </c>
      <c r="D321">
        <v>0.1163</v>
      </c>
      <c r="E321">
        <v>0.13719999999999999</v>
      </c>
      <c r="F321">
        <v>0.09</v>
      </c>
      <c r="G321" s="247">
        <f t="shared" si="20"/>
        <v>245.54598645716916</v>
      </c>
      <c r="H321">
        <v>3211521926.0533104</v>
      </c>
      <c r="I321">
        <v>644412878.78787875</v>
      </c>
      <c r="J321">
        <v>644412878.78787875</v>
      </c>
      <c r="K321" s="195">
        <f t="shared" si="21"/>
        <v>3735000</v>
      </c>
      <c r="L321" s="195">
        <f t="shared" si="22"/>
        <v>884134.46969696949</v>
      </c>
      <c r="M321" s="195">
        <f t="shared" si="23"/>
        <v>579971.59090909082</v>
      </c>
      <c r="N321" s="195">
        <f t="shared" si="24"/>
        <v>1464106.0606060603</v>
      </c>
      <c r="O321" s="243">
        <v>15211</v>
      </c>
      <c r="Q321" s="195"/>
      <c r="R321" s="139"/>
      <c r="S321" s="137"/>
      <c r="T321" s="247"/>
    </row>
    <row r="322" spans="1:20" x14ac:dyDescent="0.2">
      <c r="A322" t="s">
        <v>693</v>
      </c>
      <c r="C322" s="139" t="s">
        <v>214</v>
      </c>
      <c r="D322">
        <v>0.21290000000000001</v>
      </c>
      <c r="E322">
        <v>0.29470000000000002</v>
      </c>
      <c r="F322">
        <v>0.25929999999999997</v>
      </c>
      <c r="G322" s="247">
        <f t="shared" ref="G322:G384" si="25">K322/O322</f>
        <v>358.59518123694914</v>
      </c>
      <c r="H322">
        <v>2438245112.0648546</v>
      </c>
      <c r="I322">
        <v>458925604.57817978</v>
      </c>
      <c r="J322">
        <v>458925604.57817978</v>
      </c>
      <c r="K322" s="195">
        <f t="shared" ref="K322:K384" si="26">D322*H322/100</f>
        <v>5191023.8435860761</v>
      </c>
      <c r="L322" s="195">
        <f t="shared" ref="L322:L384" si="27">E322*J322/100</f>
        <v>1352453.7566918961</v>
      </c>
      <c r="M322" s="195">
        <f t="shared" ref="M322:M384" si="28">F322*I322/100</f>
        <v>1189994.09267122</v>
      </c>
      <c r="N322" s="195">
        <f t="shared" ref="N322:N384" si="29">SUM(L322:M322)</f>
        <v>2542447.8493631161</v>
      </c>
      <c r="O322" s="243">
        <v>14476</v>
      </c>
      <c r="Q322" s="195"/>
      <c r="R322" s="139"/>
      <c r="S322" s="137"/>
      <c r="T322" s="247"/>
    </row>
    <row r="323" spans="1:20" x14ac:dyDescent="0.2">
      <c r="A323" t="s">
        <v>690</v>
      </c>
      <c r="C323" s="139" t="s">
        <v>486</v>
      </c>
      <c r="D323">
        <v>0.10340000000000001</v>
      </c>
      <c r="E323">
        <v>0.21310000000000001</v>
      </c>
      <c r="F323">
        <v>0.1701</v>
      </c>
      <c r="G323" s="247">
        <f t="shared" si="25"/>
        <v>225.56645369503528</v>
      </c>
      <c r="H323">
        <v>3997150997.1509972</v>
      </c>
      <c r="I323">
        <v>1244100681.6990037</v>
      </c>
      <c r="J323">
        <v>1244100681.6990037</v>
      </c>
      <c r="K323" s="195">
        <f t="shared" si="26"/>
        <v>4133054.1310541313</v>
      </c>
      <c r="L323" s="195">
        <f t="shared" si="27"/>
        <v>2651178.5527005773</v>
      </c>
      <c r="M323" s="195">
        <f t="shared" si="28"/>
        <v>2116215.2595700053</v>
      </c>
      <c r="N323" s="195">
        <f t="shared" si="29"/>
        <v>4767393.8122705827</v>
      </c>
      <c r="O323" s="243">
        <v>18323</v>
      </c>
      <c r="Q323" s="195"/>
      <c r="R323" s="139"/>
      <c r="S323" s="137"/>
      <c r="T323" s="247"/>
    </row>
    <row r="324" spans="1:20" x14ac:dyDescent="0.2">
      <c r="A324" t="s">
        <v>691</v>
      </c>
      <c r="C324" s="139" t="s">
        <v>355</v>
      </c>
      <c r="D324">
        <v>0.13789999999999999</v>
      </c>
      <c r="E324">
        <v>0.24540000000000001</v>
      </c>
      <c r="F324">
        <v>0.17699999999999999</v>
      </c>
      <c r="G324" s="247">
        <f t="shared" si="25"/>
        <v>278.1711113814435</v>
      </c>
      <c r="H324">
        <v>1147985347.985348</v>
      </c>
      <c r="I324">
        <v>150406504.06504065</v>
      </c>
      <c r="J324">
        <v>150406504.06504065</v>
      </c>
      <c r="K324" s="195">
        <f t="shared" si="26"/>
        <v>1583071.794871795</v>
      </c>
      <c r="L324" s="195">
        <f t="shared" si="27"/>
        <v>369097.56097560981</v>
      </c>
      <c r="M324" s="195">
        <f t="shared" si="28"/>
        <v>266219.51219512196</v>
      </c>
      <c r="N324" s="195">
        <f t="shared" si="29"/>
        <v>635317.07317073178</v>
      </c>
      <c r="O324" s="243">
        <v>5691</v>
      </c>
      <c r="Q324" s="195"/>
      <c r="R324" s="139"/>
      <c r="S324" s="137"/>
      <c r="T324" s="247"/>
    </row>
    <row r="325" spans="1:20" x14ac:dyDescent="0.2">
      <c r="A325" t="s">
        <v>691</v>
      </c>
      <c r="C325" s="139" t="s">
        <v>356</v>
      </c>
      <c r="D325">
        <v>0.12889999999999999</v>
      </c>
      <c r="E325">
        <v>0.23930000000000001</v>
      </c>
      <c r="F325">
        <v>0.19289999999999999</v>
      </c>
      <c r="G325" s="247">
        <f t="shared" si="25"/>
        <v>276.4218497707991</v>
      </c>
      <c r="H325">
        <v>2762288477.0346494</v>
      </c>
      <c r="I325">
        <v>784150156.41293013</v>
      </c>
      <c r="J325">
        <v>784150156.41293013</v>
      </c>
      <c r="K325" s="195">
        <f t="shared" si="26"/>
        <v>3560589.8468976631</v>
      </c>
      <c r="L325" s="195">
        <f t="shared" si="27"/>
        <v>1876471.324296142</v>
      </c>
      <c r="M325" s="195">
        <f t="shared" si="28"/>
        <v>1512625.651720542</v>
      </c>
      <c r="N325" s="195">
        <f t="shared" si="29"/>
        <v>3389096.976016684</v>
      </c>
      <c r="O325" s="243">
        <v>12881</v>
      </c>
      <c r="Q325" s="195"/>
      <c r="R325" s="139"/>
      <c r="S325" s="137"/>
      <c r="T325" s="247"/>
    </row>
    <row r="326" spans="1:20" x14ac:dyDescent="0.2">
      <c r="A326" t="s">
        <v>696</v>
      </c>
      <c r="C326" s="139" t="s">
        <v>533</v>
      </c>
      <c r="D326">
        <v>0.183</v>
      </c>
      <c r="E326">
        <v>0.2954</v>
      </c>
      <c r="F326">
        <v>0.2276</v>
      </c>
      <c r="G326" s="247">
        <f t="shared" si="25"/>
        <v>328.91615356754801</v>
      </c>
      <c r="H326">
        <v>1127840909.0909092</v>
      </c>
      <c r="I326">
        <v>322836287.79979146</v>
      </c>
      <c r="J326">
        <v>322836287.79979146</v>
      </c>
      <c r="K326" s="195">
        <f t="shared" si="26"/>
        <v>2063948.8636363638</v>
      </c>
      <c r="L326" s="195">
        <f t="shared" si="27"/>
        <v>953658.39416058396</v>
      </c>
      <c r="M326" s="195">
        <f t="shared" si="28"/>
        <v>734775.39103232534</v>
      </c>
      <c r="N326" s="195">
        <f t="shared" si="29"/>
        <v>1688433.7851929092</v>
      </c>
      <c r="O326" s="243">
        <v>6275</v>
      </c>
      <c r="Q326" s="195"/>
      <c r="R326" s="139"/>
      <c r="S326" s="137"/>
      <c r="T326" s="247"/>
    </row>
    <row r="327" spans="1:20" x14ac:dyDescent="0.2">
      <c r="A327" t="s">
        <v>697</v>
      </c>
      <c r="C327" s="139" t="s">
        <v>311</v>
      </c>
      <c r="D327">
        <v>0.1096</v>
      </c>
      <c r="E327">
        <v>0.3241</v>
      </c>
      <c r="F327">
        <v>0.26179999999999998</v>
      </c>
      <c r="G327" s="247">
        <f t="shared" si="25"/>
        <v>208.83118821152857</v>
      </c>
      <c r="H327">
        <v>29969752520.62328</v>
      </c>
      <c r="I327">
        <v>11259929798.632921</v>
      </c>
      <c r="J327">
        <v>11259929798.632921</v>
      </c>
      <c r="K327" s="195">
        <f t="shared" si="26"/>
        <v>32846848.762603115</v>
      </c>
      <c r="L327" s="195">
        <f t="shared" si="27"/>
        <v>36493432.477369301</v>
      </c>
      <c r="M327" s="195">
        <f t="shared" si="28"/>
        <v>29478496.212820984</v>
      </c>
      <c r="N327" s="195">
        <f t="shared" si="29"/>
        <v>65971928.690190285</v>
      </c>
      <c r="O327" s="243">
        <v>157289</v>
      </c>
      <c r="Q327" s="195"/>
      <c r="R327" s="139"/>
      <c r="S327" s="137"/>
      <c r="T327" s="247"/>
    </row>
    <row r="328" spans="1:20" x14ac:dyDescent="0.2">
      <c r="A328" t="s">
        <v>697</v>
      </c>
      <c r="C328" s="139" t="s">
        <v>312</v>
      </c>
      <c r="D328">
        <v>0.1174</v>
      </c>
      <c r="E328">
        <v>0.1661</v>
      </c>
      <c r="F328">
        <v>0.15579999999999999</v>
      </c>
      <c r="G328" s="247">
        <f t="shared" si="25"/>
        <v>292.91262494785593</v>
      </c>
      <c r="H328">
        <v>6025167785.2348995</v>
      </c>
      <c r="I328">
        <v>864968152.86624205</v>
      </c>
      <c r="J328">
        <v>864968152.86624205</v>
      </c>
      <c r="K328" s="195">
        <f t="shared" si="26"/>
        <v>7073546.9798657726</v>
      </c>
      <c r="L328" s="195">
        <f t="shared" si="27"/>
        <v>1436712.1019108281</v>
      </c>
      <c r="M328" s="195">
        <f t="shared" si="28"/>
        <v>1347620.3821656052</v>
      </c>
      <c r="N328" s="195">
        <f t="shared" si="29"/>
        <v>2784332.4840764333</v>
      </c>
      <c r="O328" s="243">
        <v>24149</v>
      </c>
      <c r="Q328" s="195"/>
      <c r="R328" s="139"/>
      <c r="S328" s="137"/>
      <c r="T328" s="247"/>
    </row>
    <row r="329" spans="1:20" x14ac:dyDescent="0.2">
      <c r="A329" t="s">
        <v>699</v>
      </c>
      <c r="C329" s="139" t="s">
        <v>523</v>
      </c>
      <c r="D329">
        <v>0.14419999999999999</v>
      </c>
      <c r="E329">
        <v>0.2248</v>
      </c>
      <c r="F329">
        <v>0.19589999999999999</v>
      </c>
      <c r="G329" s="247">
        <f t="shared" si="25"/>
        <v>192.97653261097267</v>
      </c>
      <c r="H329">
        <v>765883977.90055239</v>
      </c>
      <c r="I329">
        <v>134680134.68013468</v>
      </c>
      <c r="J329">
        <v>134680134.68013468</v>
      </c>
      <c r="K329" s="195">
        <f t="shared" si="26"/>
        <v>1104404.6961325966</v>
      </c>
      <c r="L329" s="195">
        <f t="shared" si="27"/>
        <v>302760.94276094274</v>
      </c>
      <c r="M329" s="195">
        <f t="shared" si="28"/>
        <v>263838.38383838383</v>
      </c>
      <c r="N329" s="195">
        <f t="shared" si="29"/>
        <v>566599.32659932657</v>
      </c>
      <c r="O329" s="243">
        <v>5723</v>
      </c>
      <c r="Q329" s="195"/>
      <c r="R329" s="139"/>
      <c r="S329" s="115"/>
      <c r="T329" s="247"/>
    </row>
    <row r="330" spans="1:20" x14ac:dyDescent="0.2">
      <c r="A330" t="s">
        <v>699</v>
      </c>
      <c r="C330" s="139" t="s">
        <v>524</v>
      </c>
      <c r="D330">
        <v>0.15939999999999999</v>
      </c>
      <c r="E330">
        <v>0.3175</v>
      </c>
      <c r="F330">
        <v>0.25419999999999998</v>
      </c>
      <c r="G330" s="247">
        <f t="shared" si="25"/>
        <v>280.58666097231122</v>
      </c>
      <c r="H330">
        <v>1570158730.1587303</v>
      </c>
      <c r="I330">
        <v>314338235.29411763</v>
      </c>
      <c r="J330">
        <v>314338235.29411763</v>
      </c>
      <c r="K330" s="195">
        <f t="shared" si="26"/>
        <v>2502833.0158730159</v>
      </c>
      <c r="L330" s="195">
        <f t="shared" si="27"/>
        <v>998023.89705882361</v>
      </c>
      <c r="M330" s="195">
        <f t="shared" si="28"/>
        <v>799047.79411764699</v>
      </c>
      <c r="N330" s="195">
        <f t="shared" si="29"/>
        <v>1797071.6911764706</v>
      </c>
      <c r="O330" s="243">
        <v>8920</v>
      </c>
      <c r="Q330" s="195"/>
      <c r="R330" s="139"/>
      <c r="S330" s="137"/>
      <c r="T330" s="247"/>
    </row>
    <row r="331" spans="1:20" x14ac:dyDescent="0.2">
      <c r="A331" t="s">
        <v>690</v>
      </c>
      <c r="C331" s="139" t="s">
        <v>487</v>
      </c>
      <c r="D331">
        <v>0.13250000000000001</v>
      </c>
      <c r="E331">
        <v>0.22620000000000001</v>
      </c>
      <c r="F331">
        <v>0.1905</v>
      </c>
      <c r="G331" s="247">
        <f t="shared" si="25"/>
        <v>299.54555672494303</v>
      </c>
      <c r="H331">
        <v>3237804878.04878</v>
      </c>
      <c r="I331">
        <v>695304437.5644995</v>
      </c>
      <c r="J331">
        <v>695304437.5644995</v>
      </c>
      <c r="K331" s="195">
        <f t="shared" si="26"/>
        <v>4290091.4634146336</v>
      </c>
      <c r="L331" s="195">
        <f t="shared" si="27"/>
        <v>1572778.6377708979</v>
      </c>
      <c r="M331" s="195">
        <f t="shared" si="28"/>
        <v>1324554.9535603717</v>
      </c>
      <c r="N331" s="195">
        <f t="shared" si="29"/>
        <v>2897333.5913312696</v>
      </c>
      <c r="O331" s="243">
        <v>14322</v>
      </c>
      <c r="Q331" s="195"/>
      <c r="R331" s="139"/>
      <c r="S331" s="137"/>
      <c r="T331" s="247"/>
    </row>
    <row r="332" spans="1:20" x14ac:dyDescent="0.2">
      <c r="A332" t="s">
        <v>698</v>
      </c>
      <c r="C332" s="139" t="s">
        <v>193</v>
      </c>
      <c r="D332">
        <v>0.20760000000000001</v>
      </c>
      <c r="E332">
        <v>0.34960000000000002</v>
      </c>
      <c r="F332">
        <v>0.24709999999999999</v>
      </c>
      <c r="G332" s="247">
        <f t="shared" si="25"/>
        <v>213.20667209172342</v>
      </c>
      <c r="H332">
        <v>1312823164.42606</v>
      </c>
      <c r="I332">
        <v>395099026.51896614</v>
      </c>
      <c r="J332">
        <v>395099026.51896614</v>
      </c>
      <c r="K332" s="195">
        <f t="shared" si="26"/>
        <v>2725420.8893485004</v>
      </c>
      <c r="L332" s="195">
        <f t="shared" si="27"/>
        <v>1381266.1967103058</v>
      </c>
      <c r="M332" s="195">
        <f t="shared" si="28"/>
        <v>976289.69452836527</v>
      </c>
      <c r="N332" s="195">
        <f t="shared" si="29"/>
        <v>2357555.8912386708</v>
      </c>
      <c r="O332" s="243">
        <v>12783</v>
      </c>
      <c r="Q332" s="195"/>
      <c r="R332" s="139"/>
      <c r="S332" s="137"/>
      <c r="T332" s="247"/>
    </row>
    <row r="333" spans="1:20" x14ac:dyDescent="0.2">
      <c r="A333" t="s">
        <v>697</v>
      </c>
      <c r="C333" s="139" t="s">
        <v>313</v>
      </c>
      <c r="D333">
        <v>0.1091</v>
      </c>
      <c r="E333">
        <v>0.21249999999999999</v>
      </c>
      <c r="F333">
        <v>0.16800000000000001</v>
      </c>
      <c r="G333" s="247">
        <f t="shared" si="25"/>
        <v>214.41305526256605</v>
      </c>
      <c r="H333">
        <v>5275229357.7981653</v>
      </c>
      <c r="I333">
        <v>1483781535.9024119</v>
      </c>
      <c r="J333">
        <v>1483781535.9024119</v>
      </c>
      <c r="K333" s="195">
        <f t="shared" si="26"/>
        <v>5755275.2293577977</v>
      </c>
      <c r="L333" s="195">
        <f t="shared" si="27"/>
        <v>3153035.7637926252</v>
      </c>
      <c r="M333" s="195">
        <f t="shared" si="28"/>
        <v>2492752.9803160522</v>
      </c>
      <c r="N333" s="195">
        <f t="shared" si="29"/>
        <v>5645788.7441086769</v>
      </c>
      <c r="O333" s="243">
        <v>26842</v>
      </c>
      <c r="Q333" s="195"/>
      <c r="R333" s="139"/>
      <c r="S333" s="137"/>
      <c r="T333" s="247"/>
    </row>
    <row r="334" spans="1:20" x14ac:dyDescent="0.2">
      <c r="A334" t="s">
        <v>701</v>
      </c>
      <c r="C334" s="139" t="s">
        <v>432</v>
      </c>
      <c r="D334">
        <v>0.1013</v>
      </c>
      <c r="E334">
        <v>0.13289999999999999</v>
      </c>
      <c r="F334">
        <v>0.10589999999999999</v>
      </c>
      <c r="G334" s="247">
        <f t="shared" si="25"/>
        <v>203.68064951986034</v>
      </c>
      <c r="H334">
        <v>3413510747.1852608</v>
      </c>
      <c r="I334">
        <v>693177061.53202176</v>
      </c>
      <c r="J334">
        <v>693177061.53202176</v>
      </c>
      <c r="K334" s="195">
        <f t="shared" si="26"/>
        <v>3457886.3868986689</v>
      </c>
      <c r="L334" s="195">
        <f t="shared" si="27"/>
        <v>921232.31477605691</v>
      </c>
      <c r="M334" s="195">
        <f t="shared" si="28"/>
        <v>734074.50816241105</v>
      </c>
      <c r="N334" s="195">
        <f t="shared" si="29"/>
        <v>1655306.8229384678</v>
      </c>
      <c r="O334" s="243">
        <v>16977</v>
      </c>
      <c r="Q334" s="195"/>
      <c r="R334" s="139"/>
      <c r="S334" s="137"/>
      <c r="T334" s="247"/>
    </row>
    <row r="335" spans="1:20" x14ac:dyDescent="0.2">
      <c r="A335" t="s">
        <v>690</v>
      </c>
      <c r="C335" s="139" t="s">
        <v>489</v>
      </c>
      <c r="D335">
        <v>0.1014</v>
      </c>
      <c r="E335">
        <v>0.19620000000000001</v>
      </c>
      <c r="F335">
        <v>0.13769999999999999</v>
      </c>
      <c r="G335" s="247">
        <f t="shared" si="25"/>
        <v>244.83255502579846</v>
      </c>
      <c r="H335">
        <v>4713147410.3585653</v>
      </c>
      <c r="I335">
        <v>1231806775.4077792</v>
      </c>
      <c r="J335">
        <v>1231806775.4077792</v>
      </c>
      <c r="K335" s="195">
        <f t="shared" si="26"/>
        <v>4779131.4741035858</v>
      </c>
      <c r="L335" s="195">
        <f t="shared" si="27"/>
        <v>2416804.8933500629</v>
      </c>
      <c r="M335" s="195">
        <f t="shared" si="28"/>
        <v>1696197.9297365118</v>
      </c>
      <c r="N335" s="195">
        <f t="shared" si="29"/>
        <v>4113002.8230865747</v>
      </c>
      <c r="O335" s="243">
        <v>19520</v>
      </c>
      <c r="Q335" s="195"/>
      <c r="R335" s="139"/>
      <c r="S335" s="137"/>
      <c r="T335" s="247"/>
    </row>
    <row r="336" spans="1:20" x14ac:dyDescent="0.2">
      <c r="A336" t="s">
        <v>691</v>
      </c>
      <c r="C336" s="139" t="s">
        <v>357</v>
      </c>
      <c r="D336">
        <v>0.1166</v>
      </c>
      <c r="E336">
        <v>0.26200000000000001</v>
      </c>
      <c r="F336">
        <v>0.21049999999999999</v>
      </c>
      <c r="G336" s="247">
        <f t="shared" si="25"/>
        <v>242.964652559602</v>
      </c>
      <c r="H336">
        <v>6432937181.6638365</v>
      </c>
      <c r="I336">
        <v>1528224940.9744582</v>
      </c>
      <c r="J336">
        <v>1528224940.9744582</v>
      </c>
      <c r="K336" s="195">
        <f t="shared" si="26"/>
        <v>7500804.7538200328</v>
      </c>
      <c r="L336" s="195">
        <f t="shared" si="27"/>
        <v>4003949.3453530804</v>
      </c>
      <c r="M336" s="195">
        <f t="shared" si="28"/>
        <v>3216913.5007512341</v>
      </c>
      <c r="N336" s="195">
        <f t="shared" si="29"/>
        <v>7220862.8461043146</v>
      </c>
      <c r="O336" s="243">
        <v>30872</v>
      </c>
      <c r="Q336" s="195"/>
      <c r="R336" s="139"/>
      <c r="S336" s="137"/>
      <c r="T336" s="247"/>
    </row>
    <row r="337" spans="1:20" x14ac:dyDescent="0.2">
      <c r="A337" t="s">
        <v>699</v>
      </c>
      <c r="C337" s="139" t="s">
        <v>525</v>
      </c>
      <c r="D337">
        <v>0.2021</v>
      </c>
      <c r="E337">
        <v>0.30769999999999997</v>
      </c>
      <c r="F337">
        <v>0.24709999999999999</v>
      </c>
      <c r="G337" s="247">
        <f t="shared" si="25"/>
        <v>340.58364292929326</v>
      </c>
      <c r="H337">
        <v>7967567567.5675678</v>
      </c>
      <c r="I337">
        <v>3094217624.2379456</v>
      </c>
      <c r="J337">
        <v>3094217624.2379456</v>
      </c>
      <c r="K337" s="195">
        <f t="shared" si="26"/>
        <v>16102454.054054055</v>
      </c>
      <c r="L337" s="195">
        <f t="shared" si="27"/>
        <v>9520907.6297801584</v>
      </c>
      <c r="M337" s="195">
        <f t="shared" si="28"/>
        <v>7645811.7494919635</v>
      </c>
      <c r="N337" s="195">
        <f t="shared" si="29"/>
        <v>17166719.379272122</v>
      </c>
      <c r="O337" s="243">
        <v>47279</v>
      </c>
      <c r="Q337" s="195"/>
      <c r="R337" s="139"/>
      <c r="S337" s="137"/>
      <c r="T337" s="247"/>
    </row>
    <row r="338" spans="1:20" x14ac:dyDescent="0.2">
      <c r="A338" t="s">
        <v>699</v>
      </c>
      <c r="C338" s="139" t="s">
        <v>526</v>
      </c>
      <c r="D338">
        <v>0.15049999999999999</v>
      </c>
      <c r="E338">
        <v>0.28100000000000003</v>
      </c>
      <c r="F338">
        <v>0.22570000000000001</v>
      </c>
      <c r="G338" s="247">
        <f t="shared" si="25"/>
        <v>277.18074734632557</v>
      </c>
      <c r="H338">
        <v>3512552301.2552299</v>
      </c>
      <c r="I338">
        <v>1447865353.0377669</v>
      </c>
      <c r="J338">
        <v>1447865353.0377669</v>
      </c>
      <c r="K338" s="195">
        <f t="shared" si="26"/>
        <v>5286391.213389121</v>
      </c>
      <c r="L338" s="195">
        <f t="shared" si="27"/>
        <v>4068501.6420361255</v>
      </c>
      <c r="M338" s="195">
        <f t="shared" si="28"/>
        <v>3267832.1018062402</v>
      </c>
      <c r="N338" s="195">
        <f t="shared" si="29"/>
        <v>7336333.7438423652</v>
      </c>
      <c r="O338" s="243">
        <v>19072</v>
      </c>
      <c r="Q338" s="195"/>
      <c r="R338" s="139"/>
      <c r="S338" s="137"/>
      <c r="T338" s="247"/>
    </row>
    <row r="339" spans="1:20" x14ac:dyDescent="0.2">
      <c r="A339" t="s">
        <v>697</v>
      </c>
      <c r="C339" s="139" t="s">
        <v>314</v>
      </c>
      <c r="D339">
        <v>0.1057</v>
      </c>
      <c r="E339">
        <v>0.22989999999999999</v>
      </c>
      <c r="F339">
        <v>0.18459999999999999</v>
      </c>
      <c r="G339" s="247">
        <f t="shared" si="25"/>
        <v>243.53382279435078</v>
      </c>
      <c r="H339">
        <v>1908411214.9532709</v>
      </c>
      <c r="I339">
        <v>714984111.46418965</v>
      </c>
      <c r="J339">
        <v>714984111.46418965</v>
      </c>
      <c r="K339" s="195">
        <f t="shared" si="26"/>
        <v>2017190.6542056075</v>
      </c>
      <c r="L339" s="195">
        <f t="shared" si="27"/>
        <v>1643748.472256172</v>
      </c>
      <c r="M339" s="195">
        <f t="shared" si="28"/>
        <v>1319860.669762894</v>
      </c>
      <c r="N339" s="195">
        <f t="shared" si="29"/>
        <v>2963609.142019066</v>
      </c>
      <c r="O339" s="243">
        <v>8283</v>
      </c>
      <c r="Q339" s="195"/>
      <c r="R339" s="139"/>
      <c r="S339" s="137"/>
      <c r="T339" s="247"/>
    </row>
    <row r="340" spans="1:20" x14ac:dyDescent="0.2">
      <c r="A340" t="s">
        <v>694</v>
      </c>
      <c r="C340" s="139" t="s">
        <v>410</v>
      </c>
      <c r="D340">
        <v>0.16020000000000001</v>
      </c>
      <c r="E340">
        <v>0.30580000000000002</v>
      </c>
      <c r="F340">
        <v>0.2571</v>
      </c>
      <c r="G340" s="247">
        <f t="shared" si="25"/>
        <v>247.6600163915036</v>
      </c>
      <c r="H340">
        <v>5402605863.1921825</v>
      </c>
      <c r="I340">
        <v>1388310185.1851852</v>
      </c>
      <c r="J340">
        <v>1388310185.1851852</v>
      </c>
      <c r="K340" s="195">
        <f t="shared" si="26"/>
        <v>8654974.5928338766</v>
      </c>
      <c r="L340" s="195">
        <f t="shared" si="27"/>
        <v>4245452.5462962966</v>
      </c>
      <c r="M340" s="195">
        <f t="shared" si="28"/>
        <v>3569345.486111111</v>
      </c>
      <c r="N340" s="195">
        <f t="shared" si="29"/>
        <v>7814798.0324074076</v>
      </c>
      <c r="O340" s="243">
        <v>34947</v>
      </c>
      <c r="Q340" s="195"/>
      <c r="R340" s="139"/>
      <c r="S340" s="137"/>
      <c r="T340" s="247"/>
    </row>
    <row r="341" spans="1:20" x14ac:dyDescent="0.2">
      <c r="A341" t="s">
        <v>698</v>
      </c>
      <c r="C341" s="139" t="s">
        <v>194</v>
      </c>
      <c r="D341">
        <v>0.15129999999999999</v>
      </c>
      <c r="E341">
        <v>0.15129999999999999</v>
      </c>
      <c r="F341">
        <v>0.1193</v>
      </c>
      <c r="G341" s="247">
        <f t="shared" si="25"/>
        <v>222.45193690945868</v>
      </c>
      <c r="H341">
        <v>1181950509.4614265</v>
      </c>
      <c r="I341">
        <v>383603682.59535295</v>
      </c>
      <c r="J341">
        <v>383603682.59535295</v>
      </c>
      <c r="K341" s="195">
        <f t="shared" si="26"/>
        <v>1788291.1208151383</v>
      </c>
      <c r="L341" s="195">
        <f t="shared" si="27"/>
        <v>580392.37176676898</v>
      </c>
      <c r="M341" s="195">
        <f t="shared" si="28"/>
        <v>457639.19333625608</v>
      </c>
      <c r="N341" s="195">
        <f t="shared" si="29"/>
        <v>1038031.5651030251</v>
      </c>
      <c r="O341" s="243">
        <v>8039</v>
      </c>
      <c r="Q341" s="195"/>
      <c r="R341" s="139"/>
      <c r="S341" s="137"/>
      <c r="T341" s="247"/>
    </row>
    <row r="342" spans="1:20" x14ac:dyDescent="0.2">
      <c r="A342" t="s">
        <v>693</v>
      </c>
      <c r="C342" s="139" t="s">
        <v>215</v>
      </c>
      <c r="D342">
        <v>8.3760000000000001E-2</v>
      </c>
      <c r="E342">
        <v>0.17885000000000001</v>
      </c>
      <c r="F342">
        <v>0.12898000000000001</v>
      </c>
      <c r="G342" s="247">
        <f t="shared" si="25"/>
        <v>223.04843686617983</v>
      </c>
      <c r="H342">
        <v>284669029.38150221</v>
      </c>
      <c r="I342">
        <v>78941258.41653122</v>
      </c>
      <c r="J342">
        <v>78941258.41653122</v>
      </c>
      <c r="K342" s="195">
        <f t="shared" si="26"/>
        <v>238438.77900994624</v>
      </c>
      <c r="L342" s="195">
        <f t="shared" si="27"/>
        <v>141186.44067796611</v>
      </c>
      <c r="M342" s="195">
        <f t="shared" si="28"/>
        <v>101818.43510564197</v>
      </c>
      <c r="N342" s="195">
        <f t="shared" si="29"/>
        <v>243004.87578360806</v>
      </c>
      <c r="O342" s="243">
        <v>1069</v>
      </c>
      <c r="Q342" s="195"/>
      <c r="R342" s="139"/>
      <c r="S342" s="137"/>
      <c r="T342" s="247"/>
    </row>
    <row r="343" spans="1:20" x14ac:dyDescent="0.2">
      <c r="A343" t="s">
        <v>701</v>
      </c>
      <c r="C343" s="139" t="s">
        <v>433</v>
      </c>
      <c r="D343">
        <v>0.13800000000000001</v>
      </c>
      <c r="E343">
        <v>0.3357</v>
      </c>
      <c r="F343">
        <v>0.2666</v>
      </c>
      <c r="G343" s="247">
        <f t="shared" si="25"/>
        <v>199.79806490897656</v>
      </c>
      <c r="H343">
        <v>3311001410.4372354</v>
      </c>
      <c r="I343">
        <v>1223014151.4306371</v>
      </c>
      <c r="J343">
        <v>1223014151.4306371</v>
      </c>
      <c r="K343" s="195">
        <f t="shared" si="26"/>
        <v>4569181.9464033851</v>
      </c>
      <c r="L343" s="195">
        <f t="shared" si="27"/>
        <v>4105658.5063526486</v>
      </c>
      <c r="M343" s="195">
        <f t="shared" si="28"/>
        <v>3260555.7277140785</v>
      </c>
      <c r="N343" s="195">
        <f t="shared" si="29"/>
        <v>7366214.2340667266</v>
      </c>
      <c r="O343" s="243">
        <v>22869</v>
      </c>
      <c r="Q343" s="195"/>
      <c r="R343" s="139"/>
      <c r="S343" s="137"/>
      <c r="T343" s="247"/>
    </row>
    <row r="344" spans="1:20" x14ac:dyDescent="0.2">
      <c r="A344" t="s">
        <v>699</v>
      </c>
      <c r="C344" s="139" t="s">
        <v>527</v>
      </c>
      <c r="D344">
        <v>0.162549</v>
      </c>
      <c r="E344">
        <v>0.19389600000000001</v>
      </c>
      <c r="F344">
        <v>0.16666500000000001</v>
      </c>
      <c r="G344" s="247">
        <f t="shared" si="25"/>
        <v>307.83584926824955</v>
      </c>
      <c r="H344">
        <v>1102761721.258831</v>
      </c>
      <c r="I344">
        <v>143872166.04263097</v>
      </c>
      <c r="J344">
        <v>143872166.04263097</v>
      </c>
      <c r="K344" s="195">
        <f t="shared" si="26"/>
        <v>1792528.1502890172</v>
      </c>
      <c r="L344" s="195">
        <f t="shared" si="27"/>
        <v>278962.3750700198</v>
      </c>
      <c r="M344" s="195">
        <f t="shared" si="28"/>
        <v>239784.54553495091</v>
      </c>
      <c r="N344" s="195">
        <f t="shared" si="29"/>
        <v>518746.92060497071</v>
      </c>
      <c r="O344" s="243">
        <v>5823</v>
      </c>
      <c r="Q344" s="195"/>
      <c r="R344" s="139"/>
      <c r="S344" s="137"/>
      <c r="T344" s="247"/>
    </row>
    <row r="345" spans="1:20" x14ac:dyDescent="0.2">
      <c r="A345" t="s">
        <v>694</v>
      </c>
      <c r="C345" s="139" t="s">
        <v>411</v>
      </c>
      <c r="D345">
        <v>0.13700000000000001</v>
      </c>
      <c r="E345">
        <v>0.21460000000000001</v>
      </c>
      <c r="F345">
        <v>0.1726</v>
      </c>
      <c r="G345" s="247">
        <f t="shared" si="25"/>
        <v>373.65676947891171</v>
      </c>
      <c r="H345">
        <v>3080350039.7772474</v>
      </c>
      <c r="I345">
        <v>277702150.8303839</v>
      </c>
      <c r="J345">
        <v>277702150.8303839</v>
      </c>
      <c r="K345" s="195">
        <f t="shared" si="26"/>
        <v>4220079.5544948289</v>
      </c>
      <c r="L345" s="195">
        <f t="shared" si="27"/>
        <v>595948.81568200386</v>
      </c>
      <c r="M345" s="195">
        <f t="shared" si="28"/>
        <v>479313.9123332426</v>
      </c>
      <c r="N345" s="195">
        <f t="shared" si="29"/>
        <v>1075262.7280152463</v>
      </c>
      <c r="O345" s="243">
        <v>11294</v>
      </c>
      <c r="Q345" s="195"/>
      <c r="R345" s="139"/>
      <c r="S345" s="137"/>
      <c r="T345" s="247"/>
    </row>
    <row r="346" spans="1:20" x14ac:dyDescent="0.2">
      <c r="A346" t="s">
        <v>692</v>
      </c>
      <c r="C346" s="139" t="s">
        <v>285</v>
      </c>
      <c r="D346">
        <v>0.1241</v>
      </c>
      <c r="E346">
        <v>0.192</v>
      </c>
      <c r="F346">
        <v>0.15090000000000001</v>
      </c>
      <c r="G346" s="247">
        <f t="shared" si="25"/>
        <v>276.87386725497356</v>
      </c>
      <c r="H346">
        <v>2374511336.982017</v>
      </c>
      <c r="I346">
        <v>633425669.43674982</v>
      </c>
      <c r="J346">
        <v>633425669.43674982</v>
      </c>
      <c r="K346" s="195">
        <f t="shared" si="26"/>
        <v>2946768.5691946833</v>
      </c>
      <c r="L346" s="195">
        <f t="shared" si="27"/>
        <v>1216177.2853185597</v>
      </c>
      <c r="M346" s="195">
        <f t="shared" si="28"/>
        <v>955839.33518005547</v>
      </c>
      <c r="N346" s="195">
        <f t="shared" si="29"/>
        <v>2172016.6204986153</v>
      </c>
      <c r="O346" s="243">
        <v>10643</v>
      </c>
      <c r="Q346" s="195"/>
      <c r="R346" s="139"/>
      <c r="S346" s="137"/>
      <c r="T346" s="247"/>
    </row>
    <row r="347" spans="1:20" x14ac:dyDescent="0.2">
      <c r="A347" t="s">
        <v>690</v>
      </c>
      <c r="C347" s="139" t="s">
        <v>490</v>
      </c>
      <c r="D347">
        <v>0.12989999999999999</v>
      </c>
      <c r="E347">
        <v>0.23200000000000001</v>
      </c>
      <c r="F347">
        <v>0.1787</v>
      </c>
      <c r="G347" s="247">
        <f t="shared" si="25"/>
        <v>358.67111629969781</v>
      </c>
      <c r="H347">
        <v>3289889415.4818325</v>
      </c>
      <c r="I347">
        <v>631196795.1927892</v>
      </c>
      <c r="J347">
        <v>631196795.1927892</v>
      </c>
      <c r="K347" s="195">
        <f t="shared" si="26"/>
        <v>4273566.3507108996</v>
      </c>
      <c r="L347" s="195">
        <f t="shared" si="27"/>
        <v>1464376.5648472712</v>
      </c>
      <c r="M347" s="195">
        <f t="shared" si="28"/>
        <v>1127948.6730095141</v>
      </c>
      <c r="N347" s="195">
        <f t="shared" si="29"/>
        <v>2592325.2378567853</v>
      </c>
      <c r="O347" s="243">
        <v>11915</v>
      </c>
      <c r="Q347" s="195"/>
      <c r="R347" s="139"/>
      <c r="S347" s="137"/>
      <c r="T347" s="247"/>
    </row>
    <row r="348" spans="1:20" x14ac:dyDescent="0.2">
      <c r="A348" t="s">
        <v>690</v>
      </c>
      <c r="C348" s="139" t="s">
        <v>491</v>
      </c>
      <c r="D348">
        <v>0.11477</v>
      </c>
      <c r="E348">
        <v>0.18153</v>
      </c>
      <c r="F348">
        <v>0.14602000000000001</v>
      </c>
      <c r="G348" s="247">
        <f t="shared" si="25"/>
        <v>325.32519316274812</v>
      </c>
      <c r="H348">
        <v>2147480755.773268</v>
      </c>
      <c r="I348">
        <v>213900349.09552521</v>
      </c>
      <c r="J348">
        <v>213900349.09552521</v>
      </c>
      <c r="K348" s="195">
        <f t="shared" si="26"/>
        <v>2464663.6634009797</v>
      </c>
      <c r="L348" s="195">
        <f t="shared" si="27"/>
        <v>388293.3037131069</v>
      </c>
      <c r="M348" s="195">
        <f t="shared" si="28"/>
        <v>312337.2897492859</v>
      </c>
      <c r="N348" s="195">
        <f t="shared" si="29"/>
        <v>700630.5934623928</v>
      </c>
      <c r="O348" s="243">
        <v>7576</v>
      </c>
      <c r="Q348" s="195"/>
      <c r="R348" s="139"/>
      <c r="S348" s="137"/>
      <c r="T348" s="247"/>
    </row>
    <row r="349" spans="1:20" x14ac:dyDescent="0.2">
      <c r="A349" t="s">
        <v>690</v>
      </c>
      <c r="C349" s="139" t="s">
        <v>492</v>
      </c>
      <c r="D349">
        <v>0.12529999999999999</v>
      </c>
      <c r="E349">
        <v>0.2286</v>
      </c>
      <c r="F349">
        <v>0.14599999999999999</v>
      </c>
      <c r="G349" s="247">
        <f t="shared" si="25"/>
        <v>250.2488698636966</v>
      </c>
      <c r="H349">
        <v>4197510373.4439836</v>
      </c>
      <c r="I349">
        <v>1449566918.1335568</v>
      </c>
      <c r="J349">
        <v>1449566918.1335568</v>
      </c>
      <c r="K349" s="195">
        <f t="shared" si="26"/>
        <v>5259480.4979253113</v>
      </c>
      <c r="L349" s="195">
        <f t="shared" si="27"/>
        <v>3313709.9748533112</v>
      </c>
      <c r="M349" s="195">
        <f t="shared" si="28"/>
        <v>2116367.7004749929</v>
      </c>
      <c r="N349" s="195">
        <f t="shared" si="29"/>
        <v>5430077.6753283041</v>
      </c>
      <c r="O349" s="243">
        <v>21017</v>
      </c>
      <c r="Q349" s="195"/>
      <c r="R349" s="139"/>
      <c r="S349" s="137"/>
      <c r="T349" s="247"/>
    </row>
    <row r="350" spans="1:20" x14ac:dyDescent="0.2">
      <c r="A350" t="s">
        <v>694</v>
      </c>
      <c r="C350" s="139" t="s">
        <v>412</v>
      </c>
      <c r="D350">
        <v>0.14899999999999999</v>
      </c>
      <c r="E350">
        <v>0.3</v>
      </c>
      <c r="F350">
        <v>0.2417</v>
      </c>
      <c r="G350" s="247">
        <f t="shared" si="25"/>
        <v>288.53325305849614</v>
      </c>
      <c r="H350">
        <v>2184913217.6234984</v>
      </c>
      <c r="I350">
        <v>676285826.46250486</v>
      </c>
      <c r="J350">
        <v>676285826.46250486</v>
      </c>
      <c r="K350" s="195">
        <f t="shared" si="26"/>
        <v>3255520.6942590121</v>
      </c>
      <c r="L350" s="195">
        <f t="shared" si="27"/>
        <v>2028857.4793875145</v>
      </c>
      <c r="M350" s="195">
        <f t="shared" si="28"/>
        <v>1634582.8425598743</v>
      </c>
      <c r="N350" s="195">
        <f t="shared" si="29"/>
        <v>3663440.3219473888</v>
      </c>
      <c r="O350" s="243">
        <v>11283</v>
      </c>
      <c r="Q350" s="195"/>
      <c r="R350" s="139"/>
      <c r="S350" s="137"/>
      <c r="T350" s="247"/>
    </row>
    <row r="351" spans="1:20" x14ac:dyDescent="0.2">
      <c r="A351" t="s">
        <v>692</v>
      </c>
      <c r="C351" s="139" t="s">
        <v>286</v>
      </c>
      <c r="D351">
        <v>0.14413000000000001</v>
      </c>
      <c r="E351">
        <v>0.30329</v>
      </c>
      <c r="F351">
        <v>0.24282999999999999</v>
      </c>
      <c r="G351" s="247">
        <f t="shared" si="25"/>
        <v>220.93260079275964</v>
      </c>
      <c r="H351">
        <v>3307014451.8857946</v>
      </c>
      <c r="I351">
        <v>875052108.99306476</v>
      </c>
      <c r="J351">
        <v>875052108.99306476</v>
      </c>
      <c r="K351" s="195">
        <f t="shared" si="26"/>
        <v>4766399.9295029966</v>
      </c>
      <c r="L351" s="195">
        <f t="shared" si="27"/>
        <v>2653945.5413650661</v>
      </c>
      <c r="M351" s="195">
        <f t="shared" si="28"/>
        <v>2124889.0362678589</v>
      </c>
      <c r="N351" s="195">
        <f t="shared" si="29"/>
        <v>4778834.5776329245</v>
      </c>
      <c r="O351" s="243">
        <v>21574</v>
      </c>
      <c r="Q351" s="195"/>
      <c r="R351" s="139"/>
      <c r="S351" s="137"/>
      <c r="T351" s="247"/>
    </row>
    <row r="352" spans="1:20" x14ac:dyDescent="0.2">
      <c r="A352" t="s">
        <v>694</v>
      </c>
      <c r="C352" s="139" t="s">
        <v>413</v>
      </c>
      <c r="D352">
        <v>0.1182</v>
      </c>
      <c r="E352">
        <v>0.2596</v>
      </c>
      <c r="F352">
        <v>0.20960000000000001</v>
      </c>
      <c r="G352" s="247">
        <f t="shared" si="25"/>
        <v>529.76005876111969</v>
      </c>
      <c r="H352">
        <v>5491666666.666667</v>
      </c>
      <c r="I352">
        <v>573609845.03190529</v>
      </c>
      <c r="J352">
        <v>573609845.03190529</v>
      </c>
      <c r="K352" s="195">
        <f t="shared" si="26"/>
        <v>6491150</v>
      </c>
      <c r="L352" s="195">
        <f t="shared" si="27"/>
        <v>1489091.1577028262</v>
      </c>
      <c r="M352" s="195">
        <f t="shared" si="28"/>
        <v>1202286.2351868735</v>
      </c>
      <c r="N352" s="195">
        <f t="shared" si="29"/>
        <v>2691377.3928896999</v>
      </c>
      <c r="O352" s="243">
        <v>12253</v>
      </c>
      <c r="Q352" s="195"/>
      <c r="R352" s="139"/>
      <c r="S352" s="137"/>
      <c r="T352" s="247"/>
    </row>
    <row r="353" spans="1:20" x14ac:dyDescent="0.2">
      <c r="A353" t="s">
        <v>691</v>
      </c>
      <c r="C353" s="139" t="s">
        <v>358</v>
      </c>
      <c r="D353">
        <v>0.105</v>
      </c>
      <c r="E353">
        <v>0.2162</v>
      </c>
      <c r="F353">
        <v>0.16270000000000001</v>
      </c>
      <c r="G353" s="247">
        <f t="shared" si="25"/>
        <v>277.13203323431918</v>
      </c>
      <c r="H353">
        <v>1928838951.3108616</v>
      </c>
      <c r="I353">
        <v>175845147.21919301</v>
      </c>
      <c r="J353">
        <v>175845147.21919301</v>
      </c>
      <c r="K353" s="195">
        <f t="shared" si="26"/>
        <v>2025280.8988764044</v>
      </c>
      <c r="L353" s="195">
        <f t="shared" si="27"/>
        <v>380177.20828789531</v>
      </c>
      <c r="M353" s="195">
        <f t="shared" si="28"/>
        <v>286100.05452562706</v>
      </c>
      <c r="N353" s="195">
        <f t="shared" si="29"/>
        <v>666277.26281352236</v>
      </c>
      <c r="O353" s="243">
        <v>7308</v>
      </c>
      <c r="Q353" s="195"/>
      <c r="R353" s="139"/>
      <c r="S353" s="137"/>
      <c r="T353" s="247"/>
    </row>
    <row r="354" spans="1:20" x14ac:dyDescent="0.2">
      <c r="A354" t="s">
        <v>699</v>
      </c>
      <c r="C354" s="139" t="s">
        <v>528</v>
      </c>
      <c r="D354">
        <v>0.12696260000000001</v>
      </c>
      <c r="E354">
        <v>0.1892713</v>
      </c>
      <c r="F354">
        <v>0.11138190000000001</v>
      </c>
      <c r="G354" s="247">
        <f t="shared" si="25"/>
        <v>223.26739204687837</v>
      </c>
      <c r="H354">
        <v>4083479789.1036906</v>
      </c>
      <c r="I354">
        <v>1208364174.6854181</v>
      </c>
      <c r="J354">
        <v>1208364174.6854181</v>
      </c>
      <c r="K354" s="195">
        <f t="shared" si="26"/>
        <v>5184492.1107205627</v>
      </c>
      <c r="L354" s="195">
        <f t="shared" si="27"/>
        <v>2287086.5821613618</v>
      </c>
      <c r="M354" s="195">
        <f t="shared" si="28"/>
        <v>1345898.9766839379</v>
      </c>
      <c r="N354" s="195">
        <f t="shared" si="29"/>
        <v>3632985.5588452998</v>
      </c>
      <c r="O354" s="243">
        <v>23221</v>
      </c>
      <c r="Q354" s="195"/>
      <c r="R354" s="139"/>
      <c r="S354" s="137"/>
      <c r="T354" s="247"/>
    </row>
    <row r="355" spans="1:20" x14ac:dyDescent="0.2">
      <c r="A355" t="s">
        <v>691</v>
      </c>
      <c r="C355" s="139" t="s">
        <v>359</v>
      </c>
      <c r="D355">
        <v>9.98E-2</v>
      </c>
      <c r="E355">
        <v>0.23530000000000001</v>
      </c>
      <c r="F355">
        <v>0.18820000000000001</v>
      </c>
      <c r="G355" s="247">
        <f t="shared" si="25"/>
        <v>209.95380077842051</v>
      </c>
      <c r="H355">
        <v>1844984802.4316111</v>
      </c>
      <c r="I355">
        <v>502532657.95787787</v>
      </c>
      <c r="J355">
        <v>502532657.95787787</v>
      </c>
      <c r="K355" s="195">
        <f t="shared" si="26"/>
        <v>1841294.8328267478</v>
      </c>
      <c r="L355" s="195">
        <f t="shared" si="27"/>
        <v>1182459.3441748866</v>
      </c>
      <c r="M355" s="195">
        <f t="shared" si="28"/>
        <v>945766.46227672626</v>
      </c>
      <c r="N355" s="195">
        <f t="shared" si="29"/>
        <v>2128225.8064516131</v>
      </c>
      <c r="O355" s="243">
        <v>8770</v>
      </c>
      <c r="Q355" s="195"/>
      <c r="R355" s="139"/>
      <c r="S355" s="137"/>
      <c r="T355" s="247"/>
    </row>
    <row r="356" spans="1:20" x14ac:dyDescent="0.2">
      <c r="A356" t="s">
        <v>690</v>
      </c>
      <c r="C356" s="139" t="s">
        <v>493</v>
      </c>
      <c r="D356">
        <v>0.1118</v>
      </c>
      <c r="E356">
        <v>0.1484</v>
      </c>
      <c r="F356">
        <v>0.12820000000000001</v>
      </c>
      <c r="G356" s="247">
        <f t="shared" si="25"/>
        <v>245.26566640921027</v>
      </c>
      <c r="H356">
        <v>2377629063.0975142</v>
      </c>
      <c r="I356">
        <v>393963151.70521367</v>
      </c>
      <c r="J356">
        <v>393963151.70521367</v>
      </c>
      <c r="K356" s="195">
        <f t="shared" si="26"/>
        <v>2658189.292543021</v>
      </c>
      <c r="L356" s="195">
        <f t="shared" si="27"/>
        <v>584641.31713053712</v>
      </c>
      <c r="M356" s="195">
        <f t="shared" si="28"/>
        <v>505060.76048608392</v>
      </c>
      <c r="N356" s="195">
        <f t="shared" si="29"/>
        <v>1089702.077616621</v>
      </c>
      <c r="O356" s="243">
        <v>10838</v>
      </c>
      <c r="Q356" s="195"/>
      <c r="R356" s="139"/>
      <c r="S356" s="137"/>
      <c r="T356" s="247"/>
    </row>
    <row r="357" spans="1:20" x14ac:dyDescent="0.2">
      <c r="A357" t="s">
        <v>692</v>
      </c>
      <c r="C357" s="139" t="s">
        <v>287</v>
      </c>
      <c r="D357">
        <v>0.1263</v>
      </c>
      <c r="E357">
        <v>0.245</v>
      </c>
      <c r="F357">
        <v>0.22059999999999999</v>
      </c>
      <c r="G357" s="247">
        <f t="shared" si="25"/>
        <v>267.81013104542512</v>
      </c>
      <c r="H357">
        <v>1698039215.6862743</v>
      </c>
      <c r="I357">
        <v>281515499.42594719</v>
      </c>
      <c r="J357">
        <v>281515499.42594719</v>
      </c>
      <c r="K357" s="195">
        <f t="shared" si="26"/>
        <v>2144623.5294117643</v>
      </c>
      <c r="L357" s="195">
        <f t="shared" si="27"/>
        <v>689712.97359357064</v>
      </c>
      <c r="M357" s="195">
        <f t="shared" si="28"/>
        <v>621023.19173363945</v>
      </c>
      <c r="N357" s="195">
        <f t="shared" si="29"/>
        <v>1310736.16532721</v>
      </c>
      <c r="O357" s="243">
        <v>8008</v>
      </c>
      <c r="Q357" s="195"/>
      <c r="R357" s="139"/>
      <c r="S357" s="137"/>
      <c r="T357" s="247"/>
    </row>
    <row r="358" spans="1:20" x14ac:dyDescent="0.2">
      <c r="A358" t="s">
        <v>689</v>
      </c>
      <c r="C358" s="139" t="s">
        <v>171</v>
      </c>
      <c r="D358">
        <v>0.1182</v>
      </c>
      <c r="E358">
        <v>0.1182</v>
      </c>
      <c r="F358">
        <v>7.5999999999999998E-2</v>
      </c>
      <c r="G358" s="247">
        <f t="shared" si="25"/>
        <v>245.65893703069941</v>
      </c>
      <c r="H358">
        <v>2027829313.5435991</v>
      </c>
      <c r="I358">
        <v>463333333.33333337</v>
      </c>
      <c r="J358">
        <v>463333333.33333337</v>
      </c>
      <c r="K358" s="195">
        <f t="shared" si="26"/>
        <v>2396894.2486085342</v>
      </c>
      <c r="L358" s="195">
        <f t="shared" si="27"/>
        <v>547660.00000000012</v>
      </c>
      <c r="M358" s="195">
        <f t="shared" si="28"/>
        <v>352133.33333333337</v>
      </c>
      <c r="N358" s="195">
        <f t="shared" si="29"/>
        <v>899793.33333333349</v>
      </c>
      <c r="O358" s="243">
        <v>9757</v>
      </c>
      <c r="Q358" s="195"/>
      <c r="R358" s="139"/>
      <c r="S358" s="137"/>
      <c r="T358" s="247"/>
    </row>
    <row r="359" spans="1:20" x14ac:dyDescent="0.2">
      <c r="A359" t="s">
        <v>692</v>
      </c>
      <c r="C359" s="139" t="s">
        <v>288</v>
      </c>
      <c r="D359">
        <v>0.1787</v>
      </c>
      <c r="E359">
        <v>0.21879999999999999</v>
      </c>
      <c r="F359">
        <v>0.17349999999999999</v>
      </c>
      <c r="G359" s="247">
        <f t="shared" si="25"/>
        <v>304.95923448379642</v>
      </c>
      <c r="H359">
        <v>1127683615.8192091</v>
      </c>
      <c r="I359">
        <v>106234947.81910624</v>
      </c>
      <c r="J359">
        <v>106234947.81910624</v>
      </c>
      <c r="K359" s="195">
        <f t="shared" si="26"/>
        <v>2015170.6214689268</v>
      </c>
      <c r="L359" s="195">
        <f t="shared" si="27"/>
        <v>232442.06582820445</v>
      </c>
      <c r="M359" s="195">
        <f t="shared" si="28"/>
        <v>184317.63446614932</v>
      </c>
      <c r="N359" s="195">
        <f t="shared" si="29"/>
        <v>416759.70029435377</v>
      </c>
      <c r="O359" s="243">
        <v>6608</v>
      </c>
      <c r="Q359" s="195"/>
      <c r="R359" s="139"/>
      <c r="S359" s="137"/>
      <c r="T359" s="247"/>
    </row>
    <row r="360" spans="1:20" x14ac:dyDescent="0.2">
      <c r="A360" t="s">
        <v>694</v>
      </c>
      <c r="C360" s="139" t="s">
        <v>414</v>
      </c>
      <c r="D360">
        <v>0.1321</v>
      </c>
      <c r="E360">
        <v>0.21110000000000001</v>
      </c>
      <c r="F360">
        <v>0.15709999999999999</v>
      </c>
      <c r="G360" s="247">
        <f t="shared" si="25"/>
        <v>290.59232734031622</v>
      </c>
      <c r="H360">
        <v>9493415956.6227741</v>
      </c>
      <c r="I360">
        <v>5078508895.7921495</v>
      </c>
      <c r="J360">
        <v>5078508895.7921495</v>
      </c>
      <c r="K360" s="195">
        <f t="shared" si="26"/>
        <v>12540802.478698686</v>
      </c>
      <c r="L360" s="195">
        <f t="shared" si="27"/>
        <v>10720732.279017229</v>
      </c>
      <c r="M360" s="195">
        <f t="shared" si="28"/>
        <v>7978337.4752894668</v>
      </c>
      <c r="N360" s="195">
        <f t="shared" si="29"/>
        <v>18699069.754306696</v>
      </c>
      <c r="O360" s="243">
        <v>43156</v>
      </c>
      <c r="Q360" s="195"/>
      <c r="R360" s="139"/>
      <c r="S360" s="137"/>
      <c r="T360" s="247"/>
    </row>
    <row r="361" spans="1:20" x14ac:dyDescent="0.2">
      <c r="A361" t="s">
        <v>693</v>
      </c>
      <c r="C361" s="139" t="s">
        <v>216</v>
      </c>
      <c r="D361">
        <v>0.15429999999999999</v>
      </c>
      <c r="E361">
        <v>0.19059999999999999</v>
      </c>
      <c r="F361">
        <v>0.18049999999999999</v>
      </c>
      <c r="G361" s="247">
        <f t="shared" si="25"/>
        <v>242.63801138469358</v>
      </c>
      <c r="H361">
        <v>1847854356.3068922</v>
      </c>
      <c r="I361">
        <v>538124452.23488164</v>
      </c>
      <c r="J361">
        <v>538124452.23488164</v>
      </c>
      <c r="K361" s="195">
        <f t="shared" si="26"/>
        <v>2851239.2717815344</v>
      </c>
      <c r="L361" s="195">
        <f t="shared" si="27"/>
        <v>1025665.2059596844</v>
      </c>
      <c r="M361" s="195">
        <f t="shared" si="28"/>
        <v>971314.63628396136</v>
      </c>
      <c r="N361" s="195">
        <f t="shared" si="29"/>
        <v>1996979.8422436458</v>
      </c>
      <c r="O361" s="243">
        <v>11751</v>
      </c>
      <c r="Q361" s="195"/>
      <c r="R361" s="139"/>
      <c r="S361" s="137"/>
      <c r="T361" s="247"/>
    </row>
    <row r="362" spans="1:20" x14ac:dyDescent="0.2">
      <c r="A362" t="s">
        <v>694</v>
      </c>
      <c r="C362" s="139" t="s">
        <v>415</v>
      </c>
      <c r="D362">
        <v>9.2600000000000002E-2</v>
      </c>
      <c r="E362">
        <v>9.2600000000000002E-2</v>
      </c>
      <c r="F362">
        <v>8.0600000000000005E-2</v>
      </c>
      <c r="G362" s="247">
        <f t="shared" si="25"/>
        <v>206.0969493583938</v>
      </c>
      <c r="H362">
        <v>1859323882.2246454</v>
      </c>
      <c r="I362">
        <v>284548104.95626825</v>
      </c>
      <c r="J362">
        <v>284548104.95626825</v>
      </c>
      <c r="K362" s="195">
        <f t="shared" si="26"/>
        <v>1721733.9149400217</v>
      </c>
      <c r="L362" s="195">
        <f t="shared" si="27"/>
        <v>263491.5451895044</v>
      </c>
      <c r="M362" s="195">
        <f t="shared" si="28"/>
        <v>229345.77259475223</v>
      </c>
      <c r="N362" s="195">
        <f t="shared" si="29"/>
        <v>492837.31778425665</v>
      </c>
      <c r="O362" s="243">
        <v>8354</v>
      </c>
      <c r="Q362" s="195"/>
      <c r="R362" s="139"/>
      <c r="S362" s="137"/>
      <c r="T362" s="247"/>
    </row>
    <row r="363" spans="1:20" x14ac:dyDescent="0.2">
      <c r="A363" t="s">
        <v>695</v>
      </c>
      <c r="C363" s="139" t="s">
        <v>238</v>
      </c>
      <c r="D363">
        <v>0.1138</v>
      </c>
      <c r="E363">
        <v>0.1109</v>
      </c>
      <c r="F363">
        <v>8.8700000000000001E-2</v>
      </c>
      <c r="G363" s="247">
        <f t="shared" si="25"/>
        <v>238.80150699781296</v>
      </c>
      <c r="H363">
        <v>2079335793.3579338</v>
      </c>
      <c r="I363">
        <v>432189973.61477578</v>
      </c>
      <c r="J363">
        <v>432189973.61477578</v>
      </c>
      <c r="K363" s="195">
        <f t="shared" si="26"/>
        <v>2366284.1328413286</v>
      </c>
      <c r="L363" s="195">
        <f t="shared" si="27"/>
        <v>479298.68073878629</v>
      </c>
      <c r="M363" s="195">
        <f t="shared" si="28"/>
        <v>383352.50659630611</v>
      </c>
      <c r="N363" s="195">
        <f t="shared" si="29"/>
        <v>862651.18733509234</v>
      </c>
      <c r="O363" s="243">
        <v>9909</v>
      </c>
      <c r="Q363" s="195"/>
      <c r="R363" s="139"/>
      <c r="S363" s="137"/>
      <c r="T363" s="247"/>
    </row>
    <row r="364" spans="1:20" x14ac:dyDescent="0.2">
      <c r="A364" t="s">
        <v>692</v>
      </c>
      <c r="C364" s="139" t="s">
        <v>289</v>
      </c>
      <c r="D364">
        <v>0.12609999999999999</v>
      </c>
      <c r="E364">
        <v>0.21149999999999999</v>
      </c>
      <c r="F364">
        <v>0.17199999999999999</v>
      </c>
      <c r="G364" s="247">
        <f t="shared" si="25"/>
        <v>274.54442678057251</v>
      </c>
      <c r="H364">
        <v>3843404255.319149</v>
      </c>
      <c r="I364">
        <v>840882694.54123104</v>
      </c>
      <c r="J364">
        <v>840882694.54123104</v>
      </c>
      <c r="K364" s="195">
        <f t="shared" si="26"/>
        <v>4846532.7659574468</v>
      </c>
      <c r="L364" s="195">
        <f t="shared" si="27"/>
        <v>1778466.8989547035</v>
      </c>
      <c r="M364" s="195">
        <f t="shared" si="28"/>
        <v>1446318.2346109173</v>
      </c>
      <c r="N364" s="195">
        <f t="shared" si="29"/>
        <v>3224785.1335656205</v>
      </c>
      <c r="O364" s="243">
        <v>17653</v>
      </c>
      <c r="Q364" s="195"/>
      <c r="R364" s="139"/>
      <c r="S364" s="137"/>
      <c r="T364" s="247"/>
    </row>
    <row r="365" spans="1:20" x14ac:dyDescent="0.2">
      <c r="A365" t="s">
        <v>691</v>
      </c>
      <c r="C365" s="139" t="s">
        <v>360</v>
      </c>
      <c r="D365">
        <v>0.1384</v>
      </c>
      <c r="E365">
        <v>0.1956</v>
      </c>
      <c r="F365">
        <v>0.1497</v>
      </c>
      <c r="G365" s="247">
        <f t="shared" si="25"/>
        <v>382.39795918367349</v>
      </c>
      <c r="H365">
        <v>3249277456.6473989</v>
      </c>
      <c r="I365">
        <v>434218467.1092335</v>
      </c>
      <c r="J365">
        <v>434218467.1092335</v>
      </c>
      <c r="K365" s="195">
        <f t="shared" si="26"/>
        <v>4497000</v>
      </c>
      <c r="L365" s="195">
        <f t="shared" si="27"/>
        <v>849331.32166566071</v>
      </c>
      <c r="M365" s="195">
        <f t="shared" si="28"/>
        <v>650025.04526252253</v>
      </c>
      <c r="N365" s="195">
        <f t="shared" si="29"/>
        <v>1499356.3669281832</v>
      </c>
      <c r="O365" s="243">
        <v>11760</v>
      </c>
      <c r="Q365" s="195"/>
      <c r="R365" s="139"/>
      <c r="S365" s="137"/>
      <c r="T365" s="247"/>
    </row>
    <row r="366" spans="1:20" x14ac:dyDescent="0.2">
      <c r="A366" t="s">
        <v>697</v>
      </c>
      <c r="C366" s="139" t="s">
        <v>315</v>
      </c>
      <c r="D366">
        <v>0.15590000000000001</v>
      </c>
      <c r="E366">
        <v>0.27250000000000002</v>
      </c>
      <c r="F366">
        <v>0.1741</v>
      </c>
      <c r="G366" s="247">
        <f t="shared" si="25"/>
        <v>362.63176958041004</v>
      </c>
      <c r="H366">
        <v>2309771309.7713094</v>
      </c>
      <c r="I366">
        <v>251049123.67316714</v>
      </c>
      <c r="J366">
        <v>251049123.67316714</v>
      </c>
      <c r="K366" s="195">
        <f t="shared" si="26"/>
        <v>3600933.4719334715</v>
      </c>
      <c r="L366" s="195">
        <f t="shared" si="27"/>
        <v>684108.86200938048</v>
      </c>
      <c r="M366" s="195">
        <f t="shared" si="28"/>
        <v>437076.52431498398</v>
      </c>
      <c r="N366" s="195">
        <f t="shared" si="29"/>
        <v>1121185.3863243645</v>
      </c>
      <c r="O366" s="243">
        <v>9930</v>
      </c>
      <c r="Q366" s="195"/>
      <c r="R366" s="139"/>
      <c r="S366" s="137"/>
      <c r="T366" s="247"/>
    </row>
    <row r="367" spans="1:20" x14ac:dyDescent="0.2">
      <c r="A367" t="s">
        <v>698</v>
      </c>
      <c r="C367" s="139" t="s">
        <v>195</v>
      </c>
      <c r="D367">
        <v>0.1968</v>
      </c>
      <c r="E367">
        <v>0.2384</v>
      </c>
      <c r="F367">
        <v>0.1736</v>
      </c>
      <c r="G367" s="247">
        <f t="shared" si="25"/>
        <v>306.22688826723714</v>
      </c>
      <c r="H367">
        <v>945600000</v>
      </c>
      <c r="I367">
        <v>173625254.58248475</v>
      </c>
      <c r="J367">
        <v>173625254.58248475</v>
      </c>
      <c r="K367" s="195">
        <f t="shared" si="26"/>
        <v>1860940.8</v>
      </c>
      <c r="L367" s="195">
        <f t="shared" si="27"/>
        <v>413922.60692464368</v>
      </c>
      <c r="M367" s="195">
        <f t="shared" si="28"/>
        <v>301413.44195519353</v>
      </c>
      <c r="N367" s="195">
        <f t="shared" si="29"/>
        <v>715336.04887983715</v>
      </c>
      <c r="O367" s="243">
        <v>6077</v>
      </c>
      <c r="Q367" s="195"/>
      <c r="R367" s="139"/>
      <c r="S367" s="137"/>
      <c r="T367" s="247"/>
    </row>
    <row r="368" spans="1:20" x14ac:dyDescent="0.2">
      <c r="A368" t="s">
        <v>692</v>
      </c>
      <c r="C368" s="139" t="s">
        <v>290</v>
      </c>
      <c r="D368">
        <v>0.1166</v>
      </c>
      <c r="E368">
        <v>0.21809999999999999</v>
      </c>
      <c r="F368">
        <v>0.17510000000000001</v>
      </c>
      <c r="G368" s="247">
        <f t="shared" si="25"/>
        <v>188.38101548830232</v>
      </c>
      <c r="H368">
        <v>2197563098.3463879</v>
      </c>
      <c r="I368">
        <v>779525528.62300146</v>
      </c>
      <c r="J368">
        <v>779525528.62300146</v>
      </c>
      <c r="K368" s="195">
        <f t="shared" si="26"/>
        <v>2562358.5726718884</v>
      </c>
      <c r="L368" s="195">
        <f t="shared" si="27"/>
        <v>1700145.177926766</v>
      </c>
      <c r="M368" s="195">
        <f t="shared" si="28"/>
        <v>1364949.2006188757</v>
      </c>
      <c r="N368" s="195">
        <f t="shared" si="29"/>
        <v>3065094.3785456419</v>
      </c>
      <c r="O368" s="243">
        <v>13602</v>
      </c>
      <c r="Q368" s="195"/>
      <c r="R368" s="139"/>
      <c r="S368" s="137"/>
      <c r="T368" s="247"/>
    </row>
    <row r="369" spans="1:20" x14ac:dyDescent="0.2">
      <c r="A369" t="s">
        <v>690</v>
      </c>
      <c r="C369" s="139" t="s">
        <v>494</v>
      </c>
      <c r="D369">
        <v>0.11559999999999999</v>
      </c>
      <c r="E369">
        <v>0.16569999999999999</v>
      </c>
      <c r="F369">
        <v>0.13800000000000001</v>
      </c>
      <c r="G369" s="247">
        <f t="shared" si="25"/>
        <v>232.10871589301834</v>
      </c>
      <c r="H369">
        <v>2049222797.9274611</v>
      </c>
      <c r="I369">
        <v>557251908.39694655</v>
      </c>
      <c r="J369">
        <v>557251908.39694655</v>
      </c>
      <c r="K369" s="195">
        <f t="shared" si="26"/>
        <v>2368901.5544041451</v>
      </c>
      <c r="L369" s="195">
        <f t="shared" si="27"/>
        <v>923366.4122137404</v>
      </c>
      <c r="M369" s="195">
        <f t="shared" si="28"/>
        <v>769007.63358778623</v>
      </c>
      <c r="N369" s="195">
        <f t="shared" si="29"/>
        <v>1692374.0458015266</v>
      </c>
      <c r="O369" s="243">
        <v>10206</v>
      </c>
      <c r="Q369" s="195"/>
      <c r="R369" s="139"/>
      <c r="S369" s="137"/>
      <c r="T369" s="247"/>
    </row>
    <row r="370" spans="1:20" x14ac:dyDescent="0.2">
      <c r="A370" t="s">
        <v>697</v>
      </c>
      <c r="C370" s="139" t="s">
        <v>316</v>
      </c>
      <c r="D370">
        <v>0.127</v>
      </c>
      <c r="E370">
        <v>0.215</v>
      </c>
      <c r="F370">
        <v>0.16</v>
      </c>
      <c r="G370" s="247">
        <f t="shared" si="25"/>
        <v>299.17364622734027</v>
      </c>
      <c r="H370">
        <v>5065457413.2492113</v>
      </c>
      <c r="I370">
        <v>1286478873.2394366</v>
      </c>
      <c r="J370">
        <v>1286478873.2394366</v>
      </c>
      <c r="K370" s="195">
        <f t="shared" si="26"/>
        <v>6433130.9148264984</v>
      </c>
      <c r="L370" s="195">
        <f t="shared" si="27"/>
        <v>2765929.5774647887</v>
      </c>
      <c r="M370" s="195">
        <f t="shared" si="28"/>
        <v>2058366.1971830989</v>
      </c>
      <c r="N370" s="195">
        <f t="shared" si="29"/>
        <v>4824295.7746478878</v>
      </c>
      <c r="O370" s="243">
        <v>21503</v>
      </c>
      <c r="Q370" s="195"/>
      <c r="R370" s="139"/>
      <c r="S370" s="137"/>
      <c r="T370" s="247"/>
    </row>
    <row r="371" spans="1:20" x14ac:dyDescent="0.2">
      <c r="A371" t="s">
        <v>691</v>
      </c>
      <c r="C371" s="139" t="s">
        <v>361</v>
      </c>
      <c r="D371">
        <v>0.13450000000000001</v>
      </c>
      <c r="E371">
        <v>0.1767</v>
      </c>
      <c r="F371">
        <v>0.14849999999999999</v>
      </c>
      <c r="G371" s="247">
        <f t="shared" si="25"/>
        <v>246.92450439781817</v>
      </c>
      <c r="H371">
        <v>1251879699.2481203</v>
      </c>
      <c r="I371">
        <v>276344420.26732981</v>
      </c>
      <c r="J371">
        <v>276344420.26732981</v>
      </c>
      <c r="K371" s="195">
        <f t="shared" si="26"/>
        <v>1683778.1954887221</v>
      </c>
      <c r="L371" s="195">
        <f t="shared" si="27"/>
        <v>488300.5906123718</v>
      </c>
      <c r="M371" s="195">
        <f t="shared" si="28"/>
        <v>410371.46409698477</v>
      </c>
      <c r="N371" s="195">
        <f t="shared" si="29"/>
        <v>898672.05470935651</v>
      </c>
      <c r="O371" s="243">
        <v>6819</v>
      </c>
      <c r="Q371" s="195"/>
      <c r="R371" s="139"/>
      <c r="S371" s="137"/>
      <c r="T371" s="247"/>
    </row>
    <row r="372" spans="1:20" x14ac:dyDescent="0.2">
      <c r="A372" t="s">
        <v>697</v>
      </c>
      <c r="C372" s="139" t="s">
        <v>317</v>
      </c>
      <c r="D372">
        <v>0.122</v>
      </c>
      <c r="E372">
        <v>0.16389999999999999</v>
      </c>
      <c r="F372">
        <v>0.13150000000000001</v>
      </c>
      <c r="G372" s="247">
        <f t="shared" si="25"/>
        <v>286.00137913631994</v>
      </c>
      <c r="H372">
        <v>1234494477.4851317</v>
      </c>
      <c r="I372">
        <v>221311475.40983605</v>
      </c>
      <c r="J372">
        <v>221311475.40983605</v>
      </c>
      <c r="K372" s="195">
        <f t="shared" si="26"/>
        <v>1506083.2625318607</v>
      </c>
      <c r="L372" s="195">
        <f t="shared" si="27"/>
        <v>362729.50819672132</v>
      </c>
      <c r="M372" s="195">
        <f t="shared" si="28"/>
        <v>291024.59016393439</v>
      </c>
      <c r="N372" s="195">
        <f t="shared" si="29"/>
        <v>653754.09836065571</v>
      </c>
      <c r="O372" s="243">
        <v>5266</v>
      </c>
      <c r="Q372" s="195"/>
      <c r="R372" s="139"/>
      <c r="S372" s="137"/>
      <c r="T372" s="247"/>
    </row>
    <row r="373" spans="1:20" x14ac:dyDescent="0.2">
      <c r="A373" t="s">
        <v>690</v>
      </c>
      <c r="C373" s="139" t="s">
        <v>495</v>
      </c>
      <c r="D373">
        <v>0.1099</v>
      </c>
      <c r="E373">
        <v>0.20300000000000001</v>
      </c>
      <c r="F373">
        <v>0.15970000000000001</v>
      </c>
      <c r="G373" s="247">
        <f t="shared" si="25"/>
        <v>256.37062685002127</v>
      </c>
      <c r="H373">
        <v>1386827458.2560296</v>
      </c>
      <c r="I373">
        <v>257699915.23029107</v>
      </c>
      <c r="J373">
        <v>257699915.23029107</v>
      </c>
      <c r="K373" s="195">
        <f t="shared" si="26"/>
        <v>1524123.3766233765</v>
      </c>
      <c r="L373" s="195">
        <f t="shared" si="27"/>
        <v>523130.82791749091</v>
      </c>
      <c r="M373" s="195">
        <f t="shared" si="28"/>
        <v>411546.76462277485</v>
      </c>
      <c r="N373" s="195">
        <f t="shared" si="29"/>
        <v>934677.59254026576</v>
      </c>
      <c r="O373" s="243">
        <v>5945</v>
      </c>
      <c r="Q373" s="195"/>
      <c r="R373" s="139"/>
      <c r="S373" s="137"/>
      <c r="T373" s="247"/>
    </row>
    <row r="374" spans="1:20" x14ac:dyDescent="0.2">
      <c r="A374" t="s">
        <v>691</v>
      </c>
      <c r="C374" s="139" t="s">
        <v>362</v>
      </c>
      <c r="D374">
        <v>0.14949999999999999</v>
      </c>
      <c r="E374">
        <v>0.3236</v>
      </c>
      <c r="F374">
        <v>0.25719999999999998</v>
      </c>
      <c r="G374" s="247">
        <f t="shared" si="25"/>
        <v>255.67501075249154</v>
      </c>
      <c r="H374">
        <v>11510848126.23274</v>
      </c>
      <c r="I374">
        <v>3023831347.3877177</v>
      </c>
      <c r="J374">
        <v>3023831347.3877177</v>
      </c>
      <c r="K374" s="195">
        <f t="shared" si="26"/>
        <v>17208717.948717948</v>
      </c>
      <c r="L374" s="195">
        <f t="shared" si="27"/>
        <v>9785118.2401466556</v>
      </c>
      <c r="M374" s="195">
        <f t="shared" si="28"/>
        <v>7777294.2254812093</v>
      </c>
      <c r="N374" s="195">
        <f t="shared" si="29"/>
        <v>17562412.465627864</v>
      </c>
      <c r="O374" s="243">
        <v>67307</v>
      </c>
      <c r="Q374" s="195"/>
      <c r="R374" s="139"/>
      <c r="S374" s="137"/>
      <c r="T374" s="247"/>
    </row>
    <row r="375" spans="1:20" x14ac:dyDescent="0.2">
      <c r="A375" t="s">
        <v>692</v>
      </c>
      <c r="C375" s="139" t="s">
        <v>291</v>
      </c>
      <c r="D375">
        <v>0.1249</v>
      </c>
      <c r="E375">
        <v>0.25879999999999997</v>
      </c>
      <c r="F375">
        <v>0.2203</v>
      </c>
      <c r="G375" s="247">
        <f t="shared" si="25"/>
        <v>255.26786328666191</v>
      </c>
      <c r="H375">
        <v>2250403877.2213244</v>
      </c>
      <c r="I375">
        <v>738839767.09079146</v>
      </c>
      <c r="J375">
        <v>738839767.09079146</v>
      </c>
      <c r="K375" s="195">
        <f t="shared" si="26"/>
        <v>2810754.4426494343</v>
      </c>
      <c r="L375" s="195">
        <f t="shared" si="27"/>
        <v>1912117.3172309683</v>
      </c>
      <c r="M375" s="195">
        <f t="shared" si="28"/>
        <v>1627664.0069010137</v>
      </c>
      <c r="N375" s="195">
        <f t="shared" si="29"/>
        <v>3539781.3241319819</v>
      </c>
      <c r="O375" s="243">
        <v>11011</v>
      </c>
      <c r="Q375" s="195"/>
      <c r="R375" s="139"/>
      <c r="S375" s="137"/>
      <c r="T375" s="247"/>
    </row>
    <row r="376" spans="1:20" x14ac:dyDescent="0.2">
      <c r="A376" t="s">
        <v>691</v>
      </c>
      <c r="C376" s="139" t="s">
        <v>363</v>
      </c>
      <c r="D376">
        <v>0.1225</v>
      </c>
      <c r="E376">
        <v>0.23369999999999999</v>
      </c>
      <c r="F376">
        <v>0.12</v>
      </c>
      <c r="G376" s="247">
        <f t="shared" si="25"/>
        <v>274.51849914123022</v>
      </c>
      <c r="H376">
        <v>2209817893.9034047</v>
      </c>
      <c r="I376">
        <v>309224890.82969433</v>
      </c>
      <c r="J376">
        <v>309224890.82969433</v>
      </c>
      <c r="K376" s="195">
        <f t="shared" si="26"/>
        <v>2707026.9200316709</v>
      </c>
      <c r="L376" s="195">
        <f t="shared" si="27"/>
        <v>722658.56986899569</v>
      </c>
      <c r="M376" s="195">
        <f t="shared" si="28"/>
        <v>371069.86899563321</v>
      </c>
      <c r="N376" s="195">
        <f t="shared" si="29"/>
        <v>1093728.4388646288</v>
      </c>
      <c r="O376" s="243">
        <v>9861</v>
      </c>
      <c r="Q376" s="195"/>
      <c r="R376" s="139"/>
      <c r="S376" s="137"/>
      <c r="T376" s="247"/>
    </row>
    <row r="377" spans="1:20" x14ac:dyDescent="0.2">
      <c r="A377" t="s">
        <v>694</v>
      </c>
      <c r="C377" s="139" t="s">
        <v>416</v>
      </c>
      <c r="D377">
        <v>0.127</v>
      </c>
      <c r="E377">
        <v>0.1981</v>
      </c>
      <c r="F377">
        <v>0.15970000000000001</v>
      </c>
      <c r="G377" s="247">
        <f t="shared" si="25"/>
        <v>296.1498762461257</v>
      </c>
      <c r="H377">
        <v>1300727566.6936135</v>
      </c>
      <c r="I377">
        <v>301298701.29870123</v>
      </c>
      <c r="J377">
        <v>301298701.29870123</v>
      </c>
      <c r="K377" s="195">
        <f t="shared" si="26"/>
        <v>1651924.0097008892</v>
      </c>
      <c r="L377" s="195">
        <f t="shared" si="27"/>
        <v>596872.72727272706</v>
      </c>
      <c r="M377" s="195">
        <f t="shared" si="28"/>
        <v>481174.02597402589</v>
      </c>
      <c r="N377" s="195">
        <f t="shared" si="29"/>
        <v>1078046.753246753</v>
      </c>
      <c r="O377" s="243">
        <v>5578</v>
      </c>
      <c r="Q377" s="195"/>
      <c r="R377" s="139"/>
      <c r="S377" s="137"/>
      <c r="T377" s="247"/>
    </row>
    <row r="378" spans="1:20" x14ac:dyDescent="0.2">
      <c r="A378" t="s">
        <v>696</v>
      </c>
      <c r="C378" s="139" t="s">
        <v>534</v>
      </c>
      <c r="D378">
        <v>0.1193</v>
      </c>
      <c r="E378">
        <v>0.1565</v>
      </c>
      <c r="F378">
        <v>0.1245</v>
      </c>
      <c r="G378" s="247">
        <f t="shared" si="25"/>
        <v>236.2088800587083</v>
      </c>
      <c r="H378">
        <v>1889077053.3446233</v>
      </c>
      <c r="I378">
        <v>1015613652.8685549</v>
      </c>
      <c r="J378">
        <v>1015613652.8685549</v>
      </c>
      <c r="K378" s="195">
        <f t="shared" si="26"/>
        <v>2253668.9246401358</v>
      </c>
      <c r="L378" s="195">
        <f t="shared" si="27"/>
        <v>1589435.3667392887</v>
      </c>
      <c r="M378" s="195">
        <f t="shared" si="28"/>
        <v>1264438.9978213508</v>
      </c>
      <c r="N378" s="195">
        <f t="shared" si="29"/>
        <v>2853874.3645606395</v>
      </c>
      <c r="O378" s="243">
        <v>9541</v>
      </c>
      <c r="Q378" s="195"/>
      <c r="R378" s="139"/>
      <c r="S378" s="137"/>
      <c r="T378" s="247"/>
    </row>
    <row r="379" spans="1:20" x14ac:dyDescent="0.2">
      <c r="A379" t="s">
        <v>697</v>
      </c>
      <c r="C379" s="139" t="s">
        <v>318</v>
      </c>
      <c r="D379">
        <v>9.0899999999999995E-2</v>
      </c>
      <c r="E379">
        <v>0.1749</v>
      </c>
      <c r="F379">
        <v>0.13830000000000001</v>
      </c>
      <c r="G379" s="247">
        <f t="shared" si="25"/>
        <v>187.93787311545077</v>
      </c>
      <c r="H379">
        <v>6130000000</v>
      </c>
      <c r="I379">
        <v>1306900000</v>
      </c>
      <c r="J379">
        <v>1306900000</v>
      </c>
      <c r="K379" s="195">
        <f t="shared" si="26"/>
        <v>5572170</v>
      </c>
      <c r="L379" s="195">
        <f t="shared" si="27"/>
        <v>2285768.1</v>
      </c>
      <c r="M379" s="195">
        <f t="shared" si="28"/>
        <v>1807442.7</v>
      </c>
      <c r="N379" s="195">
        <f t="shared" si="29"/>
        <v>4093210.8</v>
      </c>
      <c r="O379" s="243">
        <v>29649</v>
      </c>
      <c r="Q379" s="195"/>
      <c r="R379" s="139"/>
      <c r="S379" s="137"/>
      <c r="T379" s="247"/>
    </row>
    <row r="380" spans="1:20" x14ac:dyDescent="0.2">
      <c r="A380" t="s">
        <v>692</v>
      </c>
      <c r="C380" s="139" t="s">
        <v>292</v>
      </c>
      <c r="D380">
        <v>0.16300000000000001</v>
      </c>
      <c r="E380">
        <v>0.27300000000000002</v>
      </c>
      <c r="F380">
        <v>0.19800000000000001</v>
      </c>
      <c r="G380" s="247">
        <f t="shared" si="25"/>
        <v>288.57280026703165</v>
      </c>
      <c r="H380">
        <v>2626366559.4855304</v>
      </c>
      <c r="I380">
        <v>736492890.99526072</v>
      </c>
      <c r="J380">
        <v>736492890.99526072</v>
      </c>
      <c r="K380" s="195">
        <f t="shared" si="26"/>
        <v>4280977.4919614149</v>
      </c>
      <c r="L380" s="195">
        <f t="shared" si="27"/>
        <v>2010625.592417062</v>
      </c>
      <c r="M380" s="195">
        <f t="shared" si="28"/>
        <v>1458255.9241706163</v>
      </c>
      <c r="N380" s="195">
        <f t="shared" si="29"/>
        <v>3468881.5165876783</v>
      </c>
      <c r="O380" s="243">
        <v>14835</v>
      </c>
      <c r="Q380" s="195"/>
      <c r="R380" s="139"/>
      <c r="S380" s="137"/>
      <c r="T380" s="247"/>
    </row>
    <row r="381" spans="1:20" x14ac:dyDescent="0.2">
      <c r="A381" t="s">
        <v>694</v>
      </c>
      <c r="C381" s="139" t="s">
        <v>417</v>
      </c>
      <c r="D381">
        <v>0.18770000000000001</v>
      </c>
      <c r="E381">
        <v>0.39629999999999999</v>
      </c>
      <c r="F381">
        <v>0.308</v>
      </c>
      <c r="G381" s="247">
        <f t="shared" si="25"/>
        <v>340.72184931110786</v>
      </c>
      <c r="H381">
        <v>10109110169.491526</v>
      </c>
      <c r="I381">
        <v>1974527037.0922093</v>
      </c>
      <c r="J381">
        <v>1974527037.0922093</v>
      </c>
      <c r="K381" s="195">
        <f t="shared" si="26"/>
        <v>18974799.788135596</v>
      </c>
      <c r="L381" s="195">
        <f t="shared" si="27"/>
        <v>7825050.6479964256</v>
      </c>
      <c r="M381" s="195">
        <f t="shared" si="28"/>
        <v>6081543.2742440049</v>
      </c>
      <c r="N381" s="195">
        <f t="shared" si="29"/>
        <v>13906593.92224043</v>
      </c>
      <c r="O381" s="243">
        <v>55690</v>
      </c>
      <c r="Q381" s="195"/>
      <c r="R381" s="139"/>
      <c r="S381" s="137"/>
      <c r="T381" s="247"/>
    </row>
    <row r="382" spans="1:20" x14ac:dyDescent="0.2">
      <c r="A382" t="s">
        <v>694</v>
      </c>
      <c r="C382" s="139" t="s">
        <v>418</v>
      </c>
      <c r="D382">
        <v>0.12509999999999999</v>
      </c>
      <c r="E382">
        <v>0.37490000000000001</v>
      </c>
      <c r="F382">
        <v>0.23269999999999999</v>
      </c>
      <c r="G382" s="247">
        <f t="shared" si="25"/>
        <v>278.52598327298699</v>
      </c>
      <c r="H382">
        <v>816653322.65812647</v>
      </c>
      <c r="I382">
        <v>438804474.87059605</v>
      </c>
      <c r="J382">
        <v>438804474.87059605</v>
      </c>
      <c r="K382" s="195">
        <f t="shared" si="26"/>
        <v>1021633.3066453162</v>
      </c>
      <c r="L382" s="195">
        <f t="shared" si="27"/>
        <v>1645077.9762898649</v>
      </c>
      <c r="M382" s="195">
        <f t="shared" si="28"/>
        <v>1021098.0130238771</v>
      </c>
      <c r="N382" s="195">
        <f t="shared" si="29"/>
        <v>2666175.9893137421</v>
      </c>
      <c r="O382" s="243">
        <v>3668</v>
      </c>
      <c r="Q382" s="195"/>
      <c r="R382" s="139"/>
      <c r="S382" s="137"/>
      <c r="T382" s="247"/>
    </row>
    <row r="383" spans="1:20" x14ac:dyDescent="0.2">
      <c r="A383" t="s">
        <v>698</v>
      </c>
      <c r="C383" s="139" t="s">
        <v>196</v>
      </c>
      <c r="D383">
        <v>0.17449999999999999</v>
      </c>
      <c r="E383">
        <v>0.25430000000000003</v>
      </c>
      <c r="F383">
        <v>0.1946</v>
      </c>
      <c r="G383" s="247">
        <f t="shared" si="25"/>
        <v>298.02910178838391</v>
      </c>
      <c r="H383">
        <v>1345486111.1111109</v>
      </c>
      <c r="I383">
        <v>595662100.45662105</v>
      </c>
      <c r="J383">
        <v>595662100.45662105</v>
      </c>
      <c r="K383" s="195">
        <f t="shared" si="26"/>
        <v>2347873.2638888885</v>
      </c>
      <c r="L383" s="195">
        <f t="shared" si="27"/>
        <v>1514768.7214611876</v>
      </c>
      <c r="M383" s="195">
        <f t="shared" si="28"/>
        <v>1159158.4474885846</v>
      </c>
      <c r="N383" s="195">
        <f t="shared" si="29"/>
        <v>2673927.1689497721</v>
      </c>
      <c r="O383" s="243">
        <v>7878</v>
      </c>
      <c r="Q383" s="195"/>
      <c r="R383" s="139"/>
      <c r="S383" s="137"/>
      <c r="T383" s="247"/>
    </row>
    <row r="384" spans="1:20" x14ac:dyDescent="0.2">
      <c r="A384" t="s">
        <v>694</v>
      </c>
      <c r="C384" s="139" t="s">
        <v>419</v>
      </c>
      <c r="D384">
        <v>0.13489999999999999</v>
      </c>
      <c r="E384">
        <v>0.17130000000000001</v>
      </c>
      <c r="F384">
        <v>0.12859999999999999</v>
      </c>
      <c r="G384" s="247">
        <f t="shared" si="25"/>
        <v>285.26157937922648</v>
      </c>
      <c r="H384">
        <v>3712418300.653595</v>
      </c>
      <c r="I384">
        <v>1048115746.9717361</v>
      </c>
      <c r="J384">
        <v>1048115746.9717361</v>
      </c>
      <c r="K384" s="195">
        <f t="shared" si="26"/>
        <v>5008052.2875816999</v>
      </c>
      <c r="L384" s="195">
        <f t="shared" si="27"/>
        <v>1795422.2745625838</v>
      </c>
      <c r="M384" s="195">
        <f t="shared" si="28"/>
        <v>1347876.8506056527</v>
      </c>
      <c r="N384" s="195">
        <f t="shared" si="29"/>
        <v>3143299.1251682364</v>
      </c>
      <c r="O384" s="243">
        <v>17556</v>
      </c>
      <c r="Q384" s="195"/>
      <c r="R384" s="139"/>
      <c r="S384" s="137"/>
      <c r="T384" s="247"/>
    </row>
    <row r="385" spans="1:20" x14ac:dyDescent="0.2">
      <c r="A385" t="s">
        <v>690</v>
      </c>
      <c r="C385" s="139" t="s">
        <v>496</v>
      </c>
      <c r="D385">
        <v>0.1273</v>
      </c>
      <c r="E385">
        <v>0.1691</v>
      </c>
      <c r="F385">
        <v>0.1353</v>
      </c>
      <c r="G385" s="247">
        <f t="shared" ref="G385:G390" si="30">K385/O385</f>
        <v>325.78768593571039</v>
      </c>
      <c r="H385">
        <v>2384417808.2191782</v>
      </c>
      <c r="I385">
        <v>550823192.55547607</v>
      </c>
      <c r="J385">
        <v>550823192.55547607</v>
      </c>
      <c r="K385" s="195">
        <f t="shared" ref="K385:K389" si="31">D385*H385/100</f>
        <v>3035363.8698630137</v>
      </c>
      <c r="L385" s="195">
        <f t="shared" ref="L385:L389" si="32">E385*J385/100</f>
        <v>931442.01861130993</v>
      </c>
      <c r="M385" s="195">
        <f t="shared" ref="M385:M389" si="33">F385*I385/100</f>
        <v>745263.77952755918</v>
      </c>
      <c r="N385" s="195">
        <f t="shared" ref="N385:N389" si="34">SUM(L385:M385)</f>
        <v>1676705.798138869</v>
      </c>
      <c r="O385" s="243">
        <v>9317</v>
      </c>
      <c r="Q385" s="195"/>
      <c r="R385" s="139"/>
      <c r="S385" s="137"/>
      <c r="T385" s="247"/>
    </row>
    <row r="386" spans="1:20" x14ac:dyDescent="0.2">
      <c r="A386" t="s">
        <v>692</v>
      </c>
      <c r="C386" s="139" t="s">
        <v>293</v>
      </c>
      <c r="D386">
        <v>0.12959999999999999</v>
      </c>
      <c r="E386">
        <v>0.22420000000000001</v>
      </c>
      <c r="F386">
        <v>0.2074</v>
      </c>
      <c r="G386" s="247">
        <f t="shared" si="30"/>
        <v>223.17295844900016</v>
      </c>
      <c r="H386">
        <v>3833202202.9897718</v>
      </c>
      <c r="I386">
        <v>1193168771.5269806</v>
      </c>
      <c r="J386">
        <v>1193168771.5269806</v>
      </c>
      <c r="K386" s="195">
        <f t="shared" si="31"/>
        <v>4967830.0550747439</v>
      </c>
      <c r="L386" s="195">
        <f t="shared" si="32"/>
        <v>2675084.3857634906</v>
      </c>
      <c r="M386" s="195">
        <f t="shared" si="33"/>
        <v>2474632.0321469577</v>
      </c>
      <c r="N386" s="195">
        <f t="shared" si="34"/>
        <v>5149716.4179104483</v>
      </c>
      <c r="O386" s="243">
        <v>22260</v>
      </c>
      <c r="Q386" s="195"/>
      <c r="R386" s="139"/>
      <c r="S386" s="137"/>
      <c r="T386" s="247"/>
    </row>
    <row r="387" spans="1:20" x14ac:dyDescent="0.2">
      <c r="A387" t="s">
        <v>695</v>
      </c>
      <c r="C387" s="139" t="s">
        <v>239</v>
      </c>
      <c r="D387">
        <v>0.121</v>
      </c>
      <c r="E387">
        <v>0.21529999999999999</v>
      </c>
      <c r="F387">
        <v>0.16200000000000001</v>
      </c>
      <c r="G387" s="247">
        <f t="shared" si="30"/>
        <v>220.0558036248427</v>
      </c>
      <c r="H387">
        <v>1576763485.4771786</v>
      </c>
      <c r="I387">
        <v>666306986.78176427</v>
      </c>
      <c r="J387">
        <v>666306986.78176427</v>
      </c>
      <c r="K387" s="195">
        <f t="shared" si="31"/>
        <v>1907883.8174273861</v>
      </c>
      <c r="L387" s="195">
        <f t="shared" si="32"/>
        <v>1434558.9425411385</v>
      </c>
      <c r="M387" s="195">
        <f t="shared" si="33"/>
        <v>1079417.3185864582</v>
      </c>
      <c r="N387" s="195">
        <f t="shared" si="34"/>
        <v>2513976.2611275967</v>
      </c>
      <c r="O387" s="243">
        <v>8670</v>
      </c>
      <c r="Q387" s="195"/>
      <c r="R387" s="139"/>
      <c r="S387" s="137"/>
      <c r="T387" s="247"/>
    </row>
    <row r="388" spans="1:20" x14ac:dyDescent="0.2">
      <c r="A388" t="s">
        <v>694</v>
      </c>
      <c r="C388" s="139" t="s">
        <v>420</v>
      </c>
      <c r="D388">
        <v>0.13739999999999999</v>
      </c>
      <c r="E388">
        <v>0.31430000000000002</v>
      </c>
      <c r="F388">
        <v>0.25240000000000001</v>
      </c>
      <c r="G388" s="247">
        <f t="shared" si="30"/>
        <v>226.34187197522371</v>
      </c>
      <c r="H388">
        <v>3375360230.5475502</v>
      </c>
      <c r="I388">
        <v>844761713.2515583</v>
      </c>
      <c r="J388">
        <v>844761713.2515583</v>
      </c>
      <c r="K388" s="195">
        <f t="shared" si="31"/>
        <v>4637744.9567723339</v>
      </c>
      <c r="L388" s="195">
        <f t="shared" si="32"/>
        <v>2655086.0647496479</v>
      </c>
      <c r="M388" s="195">
        <f t="shared" si="33"/>
        <v>2132178.564246933</v>
      </c>
      <c r="N388" s="195">
        <f t="shared" si="34"/>
        <v>4787264.6289965808</v>
      </c>
      <c r="O388" s="243">
        <v>20490</v>
      </c>
      <c r="Q388" s="195"/>
      <c r="R388" s="139"/>
      <c r="S388" s="137"/>
      <c r="T388" s="247"/>
    </row>
    <row r="389" spans="1:20" x14ac:dyDescent="0.2">
      <c r="A389" t="s">
        <v>695</v>
      </c>
      <c r="C389" s="139" t="s">
        <v>240</v>
      </c>
      <c r="D389">
        <v>0.13250000000000001</v>
      </c>
      <c r="E389">
        <v>0.31759999999999999</v>
      </c>
      <c r="F389">
        <v>0.25690000000000002</v>
      </c>
      <c r="G389" s="247">
        <f t="shared" si="30"/>
        <v>254.42065101868641</v>
      </c>
      <c r="H389">
        <v>10922614575.507137</v>
      </c>
      <c r="I389">
        <v>5250817884.4056702</v>
      </c>
      <c r="J389">
        <v>5250817884.4056702</v>
      </c>
      <c r="K389" s="195">
        <f t="shared" si="31"/>
        <v>14472464.312546957</v>
      </c>
      <c r="L389" s="195">
        <f t="shared" si="32"/>
        <v>16676597.600872407</v>
      </c>
      <c r="M389" s="195">
        <f t="shared" si="33"/>
        <v>13489351.145038169</v>
      </c>
      <c r="N389" s="195">
        <f t="shared" si="34"/>
        <v>30165948.745910577</v>
      </c>
      <c r="O389" s="243">
        <v>56884</v>
      </c>
      <c r="Q389" s="195"/>
      <c r="R389" s="139"/>
      <c r="S389" s="137"/>
      <c r="T389" s="247"/>
    </row>
    <row r="390" spans="1:20" x14ac:dyDescent="0.2">
      <c r="A390" t="s">
        <v>826</v>
      </c>
      <c r="B390" s="265">
        <f>SUM(K390,L390,M390)/SUM(H390,I390,J390)</f>
        <v>1.6334382619792029E-3</v>
      </c>
      <c r="C390" s="139" t="s">
        <v>545</v>
      </c>
      <c r="D390">
        <f>K390/H390*100</f>
        <v>0.12551975304565954</v>
      </c>
      <c r="E390">
        <f>L390/J390*100</f>
        <v>0.25800149539559653</v>
      </c>
      <c r="F390">
        <f>M390/I390*100</f>
        <v>0.19927275641764436</v>
      </c>
      <c r="G390" s="247">
        <f t="shared" si="30"/>
        <v>240.08477836440949</v>
      </c>
      <c r="H390" s="243">
        <f t="shared" ref="H390:N390" si="35">SUM(H2:H389)</f>
        <v>1511677118345.8203</v>
      </c>
      <c r="I390" s="243">
        <f t="shared" si="35"/>
        <v>437853395080.38574</v>
      </c>
      <c r="J390" s="243">
        <f t="shared" si="35"/>
        <v>437853395080.38574</v>
      </c>
      <c r="K390" s="243">
        <f t="shared" si="35"/>
        <v>1897453385.7954164</v>
      </c>
      <c r="L390" s="243">
        <f t="shared" si="35"/>
        <v>1129668306.9477844</v>
      </c>
      <c r="M390" s="243">
        <f t="shared" si="35"/>
        <v>872522529.44492304</v>
      </c>
      <c r="N390" s="195">
        <f t="shared" si="35"/>
        <v>2002190836.3927083</v>
      </c>
      <c r="O390" s="195">
        <f>SUM(O2:O389)</f>
        <v>7903264</v>
      </c>
      <c r="Q390" s="195"/>
      <c r="R390" s="139"/>
      <c r="S390" s="137"/>
    </row>
    <row r="391" spans="1:20" x14ac:dyDescent="0.2">
      <c r="C391" s="139" t="s">
        <v>703</v>
      </c>
      <c r="R391" s="139"/>
      <c r="S391" s="137"/>
    </row>
    <row r="392" spans="1:20" x14ac:dyDescent="0.2">
      <c r="C392" s="139" t="s">
        <v>598</v>
      </c>
      <c r="R392" s="139"/>
      <c r="S392" s="137"/>
    </row>
    <row r="393" spans="1:20" x14ac:dyDescent="0.2">
      <c r="C393" s="139" t="s">
        <v>704</v>
      </c>
      <c r="R393" s="139"/>
      <c r="S393" s="137"/>
    </row>
    <row r="394" spans="1:20" x14ac:dyDescent="0.2">
      <c r="C394" s="139" t="s">
        <v>705</v>
      </c>
      <c r="R394" s="139"/>
      <c r="S394" s="137"/>
    </row>
    <row r="395" spans="1:20" x14ac:dyDescent="0.2">
      <c r="C395" s="139" t="s">
        <v>706</v>
      </c>
      <c r="R395" s="139"/>
    </row>
    <row r="396" spans="1:20" x14ac:dyDescent="0.2">
      <c r="C396" s="139" t="s">
        <v>707</v>
      </c>
      <c r="R396" s="139"/>
    </row>
    <row r="397" spans="1:20" x14ac:dyDescent="0.2">
      <c r="C397" s="139" t="s">
        <v>716</v>
      </c>
      <c r="R397" s="139"/>
    </row>
    <row r="398" spans="1:20" x14ac:dyDescent="0.2">
      <c r="C398" s="139" t="s">
        <v>708</v>
      </c>
      <c r="R398" s="139"/>
    </row>
    <row r="399" spans="1:20" x14ac:dyDescent="0.2">
      <c r="C399" s="139" t="s">
        <v>709</v>
      </c>
      <c r="R399" s="139"/>
    </row>
    <row r="400" spans="1:20" x14ac:dyDescent="0.2">
      <c r="C400" s="139" t="s">
        <v>710</v>
      </c>
      <c r="R400" s="139"/>
    </row>
    <row r="401" spans="1:20" x14ac:dyDescent="0.2">
      <c r="C401" s="139" t="s">
        <v>711</v>
      </c>
      <c r="R401" s="139"/>
    </row>
    <row r="402" spans="1:20" x14ac:dyDescent="0.2">
      <c r="C402" s="139" t="s">
        <v>712</v>
      </c>
      <c r="R402" s="139"/>
    </row>
    <row r="403" spans="1:20" x14ac:dyDescent="0.2">
      <c r="C403" s="139"/>
      <c r="G403" s="242"/>
      <c r="R403" s="139"/>
    </row>
    <row r="406" spans="1:20" x14ac:dyDescent="0.2">
      <c r="A406" s="99" t="s">
        <v>685</v>
      </c>
      <c r="B406" s="99" t="s">
        <v>686</v>
      </c>
      <c r="C406" s="139" t="s">
        <v>713</v>
      </c>
      <c r="D406" s="241" t="s">
        <v>827</v>
      </c>
      <c r="E406" s="241" t="s">
        <v>828</v>
      </c>
      <c r="F406" s="241" t="s">
        <v>829</v>
      </c>
      <c r="G406" s="241" t="s">
        <v>830</v>
      </c>
      <c r="H406" s="241" t="s">
        <v>831</v>
      </c>
      <c r="I406" s="241" t="s">
        <v>832</v>
      </c>
      <c r="J406" s="241" t="s">
        <v>833</v>
      </c>
      <c r="K406" s="241" t="s">
        <v>834</v>
      </c>
      <c r="L406" s="241" t="s">
        <v>835</v>
      </c>
      <c r="M406" s="241" t="s">
        <v>836</v>
      </c>
      <c r="N406" s="241" t="s">
        <v>837</v>
      </c>
      <c r="O406" s="244" t="s">
        <v>838</v>
      </c>
      <c r="P406" s="244"/>
      <c r="Q406" s="241"/>
      <c r="R406" s="139"/>
    </row>
    <row r="407" spans="1:20" x14ac:dyDescent="0.2">
      <c r="A407" t="s">
        <v>690</v>
      </c>
      <c r="C407" s="139" t="s">
        <v>479</v>
      </c>
      <c r="D407">
        <v>0.127</v>
      </c>
      <c r="E407">
        <v>0.18160000000000001</v>
      </c>
      <c r="F407">
        <v>0.13619999999999999</v>
      </c>
      <c r="G407" s="247">
        <f t="shared" ref="G407:G410" si="36">K407/O407</f>
        <v>300.06081860651852</v>
      </c>
      <c r="H407">
        <v>2342364532.0197043</v>
      </c>
      <c r="I407">
        <v>540387182.91054738</v>
      </c>
      <c r="J407">
        <v>540387182.91054738</v>
      </c>
      <c r="K407" s="195">
        <f t="shared" ref="K407:K410" si="37">D407*H407/100</f>
        <v>2974802.9556650245</v>
      </c>
      <c r="L407" s="195">
        <f t="shared" ref="L407:L410" si="38">E407*J407/100</f>
        <v>981343.12416555407</v>
      </c>
      <c r="M407" s="195">
        <f t="shared" ref="M407:M410" si="39">F407*I407/100</f>
        <v>736007.34312416543</v>
      </c>
      <c r="N407" s="195">
        <f t="shared" ref="N407:N410" si="40">SUM(L407:M407)</f>
        <v>1717350.4672897195</v>
      </c>
      <c r="O407" s="243">
        <v>9914</v>
      </c>
      <c r="Q407" s="195"/>
      <c r="R407" s="139"/>
      <c r="S407" s="137"/>
      <c r="T407" s="247"/>
    </row>
    <row r="408" spans="1:20" x14ac:dyDescent="0.2">
      <c r="A408" t="s">
        <v>690</v>
      </c>
      <c r="C408" s="139" t="s">
        <v>481</v>
      </c>
      <c r="D408">
        <v>0.1351</v>
      </c>
      <c r="E408">
        <v>0.1961</v>
      </c>
      <c r="F408">
        <v>0.15390000000000001</v>
      </c>
      <c r="G408" s="247">
        <f t="shared" si="36"/>
        <v>371.92740731191111</v>
      </c>
      <c r="H408">
        <v>2032799389.7787948</v>
      </c>
      <c r="I408">
        <v>446628364.07620198</v>
      </c>
      <c r="J408">
        <v>446628364.07620198</v>
      </c>
      <c r="K408" s="195">
        <f t="shared" si="37"/>
        <v>2746311.9755911515</v>
      </c>
      <c r="L408" s="195">
        <f t="shared" si="38"/>
        <v>875838.22195343208</v>
      </c>
      <c r="M408" s="195">
        <f t="shared" si="39"/>
        <v>687361.05231327494</v>
      </c>
      <c r="N408" s="195">
        <f t="shared" si="40"/>
        <v>1563199.274266707</v>
      </c>
      <c r="O408" s="243">
        <v>7384</v>
      </c>
      <c r="Q408" s="195"/>
      <c r="R408" s="139"/>
      <c r="S408" s="137"/>
      <c r="T408" s="247"/>
    </row>
    <row r="409" spans="1:20" x14ac:dyDescent="0.2">
      <c r="A409" t="s">
        <v>690</v>
      </c>
      <c r="C409" s="139" t="s">
        <v>488</v>
      </c>
      <c r="D409">
        <v>0.12343999999999999</v>
      </c>
      <c r="E409">
        <v>0.16750999999999999</v>
      </c>
      <c r="F409">
        <v>0.15323000000000001</v>
      </c>
      <c r="G409" s="247">
        <f t="shared" si="36"/>
        <v>287.43866208148773</v>
      </c>
      <c r="H409">
        <v>3611378977.8206363</v>
      </c>
      <c r="I409">
        <v>1363033830.9031179</v>
      </c>
      <c r="J409">
        <v>1363033830.9031179</v>
      </c>
      <c r="K409" s="195">
        <f t="shared" si="37"/>
        <v>4457886.2102217935</v>
      </c>
      <c r="L409" s="195">
        <f t="shared" si="38"/>
        <v>2283217.9701458127</v>
      </c>
      <c r="M409" s="195">
        <f t="shared" si="39"/>
        <v>2088576.7390928478</v>
      </c>
      <c r="N409" s="195">
        <f t="shared" si="40"/>
        <v>4371794.7092386605</v>
      </c>
      <c r="O409" s="243">
        <v>15509</v>
      </c>
      <c r="Q409" s="195"/>
      <c r="R409" s="139"/>
      <c r="S409" s="137"/>
      <c r="T409" s="247"/>
    </row>
    <row r="410" spans="1:20" x14ac:dyDescent="0.2">
      <c r="A410" t="s">
        <v>690</v>
      </c>
      <c r="C410" s="139" t="s">
        <v>876</v>
      </c>
      <c r="D410">
        <v>0.1275</v>
      </c>
      <c r="E410">
        <v>0.1762</v>
      </c>
      <c r="F410">
        <v>0.14940000000000001</v>
      </c>
      <c r="G410" s="247">
        <f t="shared" si="36"/>
        <v>310.38626505014173</v>
      </c>
      <c r="H410">
        <v>7986542900</v>
      </c>
      <c r="I410">
        <v>2350049378</v>
      </c>
      <c r="J410">
        <v>2350049378</v>
      </c>
      <c r="K410" s="195">
        <f t="shared" si="37"/>
        <v>10182842.1975</v>
      </c>
      <c r="L410" s="195">
        <f t="shared" si="38"/>
        <v>4140787.004036</v>
      </c>
      <c r="M410" s="195">
        <f t="shared" si="39"/>
        <v>3510973.770732</v>
      </c>
      <c r="N410" s="195">
        <f t="shared" si="40"/>
        <v>7651760.7747680005</v>
      </c>
      <c r="O410" s="195">
        <v>32807</v>
      </c>
    </row>
    <row r="413" spans="1:20" x14ac:dyDescent="0.2">
      <c r="C413" s="139"/>
      <c r="G413" s="247"/>
      <c r="K413" s="195"/>
      <c r="L413" s="195"/>
      <c r="M413" s="195"/>
      <c r="N413" s="195"/>
    </row>
  </sheetData>
  <sheetProtection algorithmName="SHA-512" hashValue="j0FXSClxsvEzGn4cvbalVq0++4GlZPFS7LrNZ9RR5EaLzQDH3XP90PInCx5TQrtOzsG/XBLd05IuRZnt4rAfRw==" saltValue="sioGkQeFWHgUHFBrC2bHWQ==" spinCount="100000" sheet="1" objects="1" scenarios="1" selectLockedCells="1" selectUnlockedCells="1"/>
  <sortState ref="S2:T389">
    <sortCondition ref="S2:S389"/>
  </sortState>
  <pageMargins left="0.7" right="0.7" top="0.75" bottom="0.75" header="0.3" footer="0.3"/>
  <pageSetup paperSize="9" orientation="portrait" horizontalDpi="4294967294"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11"/>
  <sheetViews>
    <sheetView topLeftCell="L1" workbookViewId="0">
      <selection activeCell="Q2" sqref="Q2"/>
    </sheetView>
  </sheetViews>
  <sheetFormatPr defaultColWidth="9.140625" defaultRowHeight="11.25" x14ac:dyDescent="0.2"/>
  <cols>
    <col min="1" max="1" width="10" style="139" bestFit="1" customWidth="1"/>
    <col min="2" max="2" width="14.140625" style="139" bestFit="1" customWidth="1"/>
    <col min="3" max="3" width="28.85546875" style="139" bestFit="1" customWidth="1"/>
    <col min="4" max="4" width="20.85546875" style="139" bestFit="1" customWidth="1"/>
    <col min="5" max="5" width="22" style="139" bestFit="1" customWidth="1"/>
    <col min="6" max="6" width="20.85546875" style="139" bestFit="1" customWidth="1"/>
    <col min="7" max="7" width="22" style="139" bestFit="1" customWidth="1"/>
    <col min="8" max="8" width="20.85546875" style="139" bestFit="1" customWidth="1"/>
    <col min="9" max="9" width="22" style="139" bestFit="1" customWidth="1"/>
    <col min="10" max="10" width="20.85546875" style="139" bestFit="1" customWidth="1"/>
    <col min="11" max="11" width="22" style="139" bestFit="1" customWidth="1"/>
    <col min="12" max="12" width="21.85546875" style="139" bestFit="1" customWidth="1"/>
    <col min="13" max="13" width="22.85546875" style="139" bestFit="1" customWidth="1"/>
    <col min="14" max="15" width="22.85546875" style="139" customWidth="1"/>
    <col min="16" max="16" width="22.42578125" style="139" bestFit="1" customWidth="1"/>
    <col min="17" max="17" width="23.42578125" style="139" bestFit="1" customWidth="1"/>
    <col min="18" max="18" width="20.7109375" style="139" bestFit="1" customWidth="1"/>
    <col min="19" max="19" width="30.28515625" style="139" bestFit="1" customWidth="1"/>
    <col min="20" max="20" width="16.85546875" style="139" bestFit="1" customWidth="1"/>
    <col min="21" max="21" width="28.85546875" style="139" bestFit="1" customWidth="1"/>
    <col min="22" max="22" width="17.140625" style="139" bestFit="1" customWidth="1"/>
    <col min="23" max="23" width="17.7109375" style="139" bestFit="1" customWidth="1"/>
    <col min="24" max="24" width="14.7109375" style="139" bestFit="1" customWidth="1"/>
    <col min="25" max="25" width="25.5703125" style="139" bestFit="1" customWidth="1"/>
    <col min="26" max="26" width="22.85546875" style="139" bestFit="1" customWidth="1"/>
    <col min="27" max="27" width="15.5703125" style="139" bestFit="1" customWidth="1"/>
    <col min="28" max="28" width="14.42578125" style="139" bestFit="1" customWidth="1"/>
    <col min="29" max="31" width="9.140625" style="139"/>
    <col min="32" max="32" width="21.42578125" style="139" bestFit="1" customWidth="1"/>
    <col min="33" max="16384" width="9.140625" style="139"/>
  </cols>
  <sheetData>
    <row r="1" spans="1:22" ht="10.15" x14ac:dyDescent="0.2">
      <c r="A1" s="139" t="s">
        <v>685</v>
      </c>
      <c r="B1" s="139" t="s">
        <v>686</v>
      </c>
      <c r="C1" s="139" t="s">
        <v>713</v>
      </c>
      <c r="D1" s="139" t="s">
        <v>599</v>
      </c>
      <c r="E1" s="139" t="s">
        <v>600</v>
      </c>
      <c r="F1" s="139" t="s">
        <v>601</v>
      </c>
      <c r="G1" s="139" t="s">
        <v>602</v>
      </c>
      <c r="H1" s="139" t="s">
        <v>603</v>
      </c>
      <c r="I1" s="139" t="s">
        <v>604</v>
      </c>
      <c r="J1" s="139" t="s">
        <v>605</v>
      </c>
      <c r="K1" s="139" t="s">
        <v>606</v>
      </c>
      <c r="L1" s="139" t="s">
        <v>607</v>
      </c>
      <c r="M1" s="139" t="s">
        <v>608</v>
      </c>
      <c r="N1" s="139" t="s">
        <v>800</v>
      </c>
      <c r="O1" s="139" t="s">
        <v>801</v>
      </c>
      <c r="P1" s="139" t="s">
        <v>717</v>
      </c>
      <c r="Q1" s="139" t="s">
        <v>718</v>
      </c>
      <c r="R1" s="139" t="s">
        <v>844</v>
      </c>
      <c r="S1" s="139" t="s">
        <v>877</v>
      </c>
      <c r="U1" s="139" t="s">
        <v>713</v>
      </c>
      <c r="V1" s="139">
        <f>53638000000</f>
        <v>53638000000</v>
      </c>
    </row>
    <row r="2" spans="1:22" ht="10.15" x14ac:dyDescent="0.2">
      <c r="A2" s="139" t="s">
        <v>689</v>
      </c>
      <c r="C2" s="139" t="s">
        <v>161</v>
      </c>
      <c r="D2" s="139">
        <v>7057</v>
      </c>
      <c r="E2" s="139">
        <v>5609</v>
      </c>
      <c r="F2" s="139">
        <v>1879</v>
      </c>
      <c r="G2" s="139">
        <v>1330</v>
      </c>
      <c r="H2" s="139">
        <v>1826</v>
      </c>
      <c r="I2" s="139">
        <v>1563</v>
      </c>
      <c r="J2" s="139">
        <v>836</v>
      </c>
      <c r="K2" s="139">
        <v>3010</v>
      </c>
      <c r="L2" s="139">
        <v>1050</v>
      </c>
      <c r="M2" s="139">
        <v>2751</v>
      </c>
      <c r="N2" s="139">
        <v>1079000</v>
      </c>
      <c r="O2" s="139">
        <v>1146000</v>
      </c>
      <c r="P2" s="139">
        <f>SUM(D2,F2,H2,N2/1000)/4</f>
        <v>2960.25</v>
      </c>
      <c r="Q2" s="139">
        <f>SUM(E2,G2,I2,O2/1000)/4</f>
        <v>2412</v>
      </c>
      <c r="R2" s="139">
        <v>25279</v>
      </c>
      <c r="S2" s="139">
        <f>R2*143.36</f>
        <v>3623997.4400000004</v>
      </c>
      <c r="U2" s="139" t="s">
        <v>161</v>
      </c>
      <c r="V2" s="139">
        <f>16779575*138.66</f>
        <v>2326655869.5</v>
      </c>
    </row>
    <row r="3" spans="1:22" ht="10.15" x14ac:dyDescent="0.2">
      <c r="A3" s="139" t="s">
        <v>690</v>
      </c>
      <c r="C3" s="139" t="s">
        <v>434</v>
      </c>
      <c r="D3" s="139">
        <v>157</v>
      </c>
      <c r="E3" s="139">
        <v>-18</v>
      </c>
      <c r="F3" s="139">
        <v>1661</v>
      </c>
      <c r="G3" s="139">
        <v>1571</v>
      </c>
      <c r="H3" s="139">
        <v>2988</v>
      </c>
      <c r="I3" s="139">
        <v>3067</v>
      </c>
      <c r="J3" s="139">
        <v>2533</v>
      </c>
      <c r="K3" s="139">
        <v>2632</v>
      </c>
      <c r="L3" s="139">
        <v>2900</v>
      </c>
      <c r="M3" s="139">
        <v>4151</v>
      </c>
      <c r="N3" s="139">
        <v>2752000</v>
      </c>
      <c r="O3" s="139">
        <v>2948000</v>
      </c>
      <c r="P3" s="139">
        <f t="shared" ref="P3:P66" si="0">SUM(D3,F3,H3,N3/1000)/4</f>
        <v>1889.5</v>
      </c>
      <c r="Q3" s="139">
        <f t="shared" ref="Q3:Q66" si="1">SUM(E3,G3,I3,O3/1000)/4</f>
        <v>1892</v>
      </c>
      <c r="R3" s="139">
        <v>13070</v>
      </c>
      <c r="S3" s="139">
        <f t="shared" ref="S3:S66" si="2">R3*143.36</f>
        <v>1873715.2000000002</v>
      </c>
      <c r="U3" s="139" t="s">
        <v>434</v>
      </c>
      <c r="V3" s="283">
        <f>V2/V1</f>
        <v>4.3377006404041914E-2</v>
      </c>
    </row>
    <row r="4" spans="1:22" ht="10.15" x14ac:dyDescent="0.2">
      <c r="A4" s="139" t="s">
        <v>691</v>
      </c>
      <c r="C4" s="139" t="s">
        <v>319</v>
      </c>
      <c r="D4" s="139">
        <v>11667</v>
      </c>
      <c r="E4" s="139">
        <v>12579</v>
      </c>
      <c r="F4" s="139">
        <v>20691</v>
      </c>
      <c r="G4" s="139">
        <v>24236</v>
      </c>
      <c r="H4" s="139">
        <v>8687</v>
      </c>
      <c r="I4" s="139">
        <v>12064</v>
      </c>
      <c r="J4" s="139">
        <v>15410</v>
      </c>
      <c r="K4" s="139">
        <v>18059</v>
      </c>
      <c r="L4" s="139">
        <v>12188</v>
      </c>
      <c r="M4" s="139">
        <v>8962</v>
      </c>
      <c r="N4" s="139">
        <v>9234000</v>
      </c>
      <c r="O4" s="139">
        <v>10129000</v>
      </c>
      <c r="P4" s="139">
        <f t="shared" si="0"/>
        <v>12569.75</v>
      </c>
      <c r="Q4" s="139">
        <f t="shared" si="1"/>
        <v>14752</v>
      </c>
      <c r="R4" s="139">
        <v>31382</v>
      </c>
      <c r="S4" s="139">
        <f t="shared" si="2"/>
        <v>4498923.5200000005</v>
      </c>
      <c r="U4" s="139" t="s">
        <v>319</v>
      </c>
    </row>
    <row r="5" spans="1:22" ht="10.15" x14ac:dyDescent="0.2">
      <c r="A5" s="139" t="s">
        <v>692</v>
      </c>
      <c r="C5" s="139" t="s">
        <v>241</v>
      </c>
      <c r="D5" s="139">
        <v>3760</v>
      </c>
      <c r="E5" s="139">
        <v>5019</v>
      </c>
      <c r="F5" s="139">
        <v>3876</v>
      </c>
      <c r="G5" s="139">
        <v>3238</v>
      </c>
      <c r="H5" s="139">
        <v>4575</v>
      </c>
      <c r="I5" s="139">
        <v>5650</v>
      </c>
      <c r="J5" s="139">
        <v>4863</v>
      </c>
      <c r="K5" s="139">
        <v>6053</v>
      </c>
      <c r="L5" s="139">
        <v>1112</v>
      </c>
      <c r="M5" s="139">
        <v>1680</v>
      </c>
      <c r="N5" s="139">
        <v>2543000</v>
      </c>
      <c r="O5" s="139">
        <v>3803000</v>
      </c>
      <c r="P5" s="139">
        <f t="shared" si="0"/>
        <v>3688.5</v>
      </c>
      <c r="Q5" s="139">
        <f t="shared" si="1"/>
        <v>4427.5</v>
      </c>
      <c r="R5" s="139">
        <v>27050</v>
      </c>
      <c r="S5" s="139">
        <f t="shared" si="2"/>
        <v>3877888.0000000005</v>
      </c>
      <c r="U5" s="139" t="s">
        <v>241</v>
      </c>
      <c r="V5" s="139">
        <v>56479000000</v>
      </c>
    </row>
    <row r="6" spans="1:22" ht="10.15" x14ac:dyDescent="0.2">
      <c r="A6" s="139" t="s">
        <v>693</v>
      </c>
      <c r="C6" s="139" t="s">
        <v>197</v>
      </c>
      <c r="D6" s="139">
        <v>3584</v>
      </c>
      <c r="E6" s="139">
        <v>2976</v>
      </c>
      <c r="F6" s="139">
        <v>3103</v>
      </c>
      <c r="G6" s="139">
        <v>3970</v>
      </c>
      <c r="H6" s="139">
        <v>7337</v>
      </c>
      <c r="I6" s="139">
        <v>6059</v>
      </c>
      <c r="J6" s="139">
        <v>2801</v>
      </c>
      <c r="K6" s="139">
        <v>2857</v>
      </c>
      <c r="L6" s="139">
        <v>3129</v>
      </c>
      <c r="M6" s="139">
        <v>3216</v>
      </c>
      <c r="N6" s="139">
        <v>2867000</v>
      </c>
      <c r="O6" s="139">
        <v>1876000</v>
      </c>
      <c r="P6" s="139">
        <f t="shared" si="0"/>
        <v>4222.75</v>
      </c>
      <c r="Q6" s="139">
        <f t="shared" si="1"/>
        <v>3720.25</v>
      </c>
      <c r="R6" s="139">
        <v>27894</v>
      </c>
      <c r="S6" s="139">
        <f t="shared" si="2"/>
        <v>3998883.8400000003</v>
      </c>
      <c r="U6" s="139" t="s">
        <v>197</v>
      </c>
      <c r="V6" s="139">
        <f>V3*V5</f>
        <v>2449889944.6938834</v>
      </c>
    </row>
    <row r="7" spans="1:22" ht="10.15" x14ac:dyDescent="0.2">
      <c r="A7" s="139" t="s">
        <v>694</v>
      </c>
      <c r="C7" s="139" t="s">
        <v>364</v>
      </c>
      <c r="D7" s="139">
        <v>3904</v>
      </c>
      <c r="E7" s="139">
        <v>1760</v>
      </c>
      <c r="F7" s="139">
        <v>11108</v>
      </c>
      <c r="G7" s="139">
        <v>10710</v>
      </c>
      <c r="H7" s="139">
        <v>7415</v>
      </c>
      <c r="I7" s="139">
        <v>8180</v>
      </c>
      <c r="J7" s="139">
        <v>2273</v>
      </c>
      <c r="K7" s="139">
        <v>3066</v>
      </c>
      <c r="L7" s="139">
        <v>2542</v>
      </c>
      <c r="M7" s="139">
        <v>2280</v>
      </c>
      <c r="N7" s="139">
        <v>1684000</v>
      </c>
      <c r="O7" s="139">
        <v>1994000</v>
      </c>
      <c r="P7" s="139">
        <f t="shared" si="0"/>
        <v>6027.75</v>
      </c>
      <c r="Q7" s="139">
        <f t="shared" si="1"/>
        <v>5661</v>
      </c>
      <c r="R7" s="139">
        <v>20015</v>
      </c>
      <c r="S7" s="139">
        <f t="shared" si="2"/>
        <v>2869350.4000000004</v>
      </c>
      <c r="U7" s="139" t="s">
        <v>364</v>
      </c>
      <c r="V7" s="284">
        <f>V6/R390</f>
        <v>143.35484989452024</v>
      </c>
    </row>
    <row r="8" spans="1:22" ht="10.15" x14ac:dyDescent="0.2">
      <c r="A8" s="139" t="s">
        <v>694</v>
      </c>
      <c r="C8" s="139" t="s">
        <v>365</v>
      </c>
      <c r="D8" s="139">
        <v>5428</v>
      </c>
      <c r="E8" s="139">
        <v>7141</v>
      </c>
      <c r="F8" s="139">
        <v>6696</v>
      </c>
      <c r="G8" s="139">
        <v>7027</v>
      </c>
      <c r="H8" s="139">
        <v>5125</v>
      </c>
      <c r="I8" s="139">
        <v>4974</v>
      </c>
      <c r="J8" s="139">
        <v>7786</v>
      </c>
      <c r="K8" s="139">
        <v>9705</v>
      </c>
      <c r="L8" s="139">
        <v>7876</v>
      </c>
      <c r="M8" s="139">
        <v>7956</v>
      </c>
      <c r="N8" s="139">
        <v>15407000</v>
      </c>
      <c r="O8" s="139">
        <v>15303000</v>
      </c>
      <c r="P8" s="139">
        <f t="shared" si="0"/>
        <v>8164</v>
      </c>
      <c r="Q8" s="139">
        <f t="shared" si="1"/>
        <v>8611.25</v>
      </c>
      <c r="R8" s="139">
        <v>25106</v>
      </c>
      <c r="S8" s="139">
        <f t="shared" si="2"/>
        <v>3599196.1600000001</v>
      </c>
      <c r="U8" s="139" t="s">
        <v>365</v>
      </c>
    </row>
    <row r="9" spans="1:22" ht="10.15" x14ac:dyDescent="0.2">
      <c r="A9" s="139" t="s">
        <v>691</v>
      </c>
      <c r="C9" s="139" t="s">
        <v>320</v>
      </c>
      <c r="D9" s="139">
        <v>25603</v>
      </c>
      <c r="E9" s="139">
        <v>32919</v>
      </c>
      <c r="F9" s="139">
        <v>52511</v>
      </c>
      <c r="G9" s="139">
        <v>52625</v>
      </c>
      <c r="H9" s="139">
        <v>51641</v>
      </c>
      <c r="I9" s="139">
        <v>52240</v>
      </c>
      <c r="J9" s="139">
        <v>43740</v>
      </c>
      <c r="K9" s="139">
        <v>44282</v>
      </c>
      <c r="L9" s="139">
        <v>28058</v>
      </c>
      <c r="M9" s="139">
        <v>36505</v>
      </c>
      <c r="N9" s="139">
        <v>36174000</v>
      </c>
      <c r="O9" s="139">
        <v>35078000</v>
      </c>
      <c r="P9" s="139">
        <f t="shared" si="0"/>
        <v>41482.25</v>
      </c>
      <c r="Q9" s="139">
        <f t="shared" si="1"/>
        <v>43215.5</v>
      </c>
      <c r="R9" s="139">
        <v>108437</v>
      </c>
      <c r="S9" s="139">
        <f t="shared" si="2"/>
        <v>15545528.320000002</v>
      </c>
      <c r="U9" s="139" t="s">
        <v>320</v>
      </c>
    </row>
    <row r="10" spans="1:22" ht="10.15" x14ac:dyDescent="0.2">
      <c r="A10" s="139" t="s">
        <v>695</v>
      </c>
      <c r="C10" s="139" t="s">
        <v>217</v>
      </c>
      <c r="D10" s="139">
        <v>30083</v>
      </c>
      <c r="E10" s="139">
        <v>22578</v>
      </c>
      <c r="F10" s="139">
        <v>61429</v>
      </c>
      <c r="G10" s="139">
        <v>116258</v>
      </c>
      <c r="H10" s="139">
        <v>55271</v>
      </c>
      <c r="I10" s="139">
        <v>54625</v>
      </c>
      <c r="J10" s="139">
        <v>55150</v>
      </c>
      <c r="K10" s="139">
        <v>60563</v>
      </c>
      <c r="L10" s="139">
        <v>81597</v>
      </c>
      <c r="M10" s="139">
        <v>140066</v>
      </c>
      <c r="N10" s="139">
        <v>22927000</v>
      </c>
      <c r="O10" s="139">
        <v>26747000</v>
      </c>
      <c r="P10" s="139">
        <f t="shared" si="0"/>
        <v>42427.5</v>
      </c>
      <c r="Q10" s="139">
        <f t="shared" si="1"/>
        <v>55052</v>
      </c>
      <c r="R10" s="139">
        <v>72487</v>
      </c>
      <c r="S10" s="139">
        <f t="shared" si="2"/>
        <v>10391736.32</v>
      </c>
      <c r="U10" s="139" t="s">
        <v>217</v>
      </c>
    </row>
    <row r="11" spans="1:22" ht="10.15" x14ac:dyDescent="0.2">
      <c r="A11" s="139" t="s">
        <v>696</v>
      </c>
      <c r="C11" s="139" t="s">
        <v>529</v>
      </c>
      <c r="D11" s="139">
        <v>108287</v>
      </c>
      <c r="E11" s="139">
        <v>104672</v>
      </c>
      <c r="F11" s="139">
        <v>178453</v>
      </c>
      <c r="G11" s="139">
        <v>144319</v>
      </c>
      <c r="H11" s="139">
        <v>134032</v>
      </c>
      <c r="I11" s="139">
        <v>159886</v>
      </c>
      <c r="J11" s="139">
        <v>103524</v>
      </c>
      <c r="K11" s="139">
        <v>110536</v>
      </c>
      <c r="L11" s="139">
        <v>84793</v>
      </c>
      <c r="M11" s="139">
        <v>154627</v>
      </c>
      <c r="N11" s="139">
        <v>133158000</v>
      </c>
      <c r="O11" s="139">
        <v>162639000</v>
      </c>
      <c r="P11" s="139">
        <f t="shared" si="0"/>
        <v>138482.5</v>
      </c>
      <c r="Q11" s="139">
        <f t="shared" si="1"/>
        <v>142879</v>
      </c>
      <c r="R11" s="139">
        <v>200954</v>
      </c>
      <c r="S11" s="139">
        <f t="shared" si="2"/>
        <v>28808765.440000001</v>
      </c>
      <c r="U11" s="139" t="s">
        <v>529</v>
      </c>
    </row>
    <row r="12" spans="1:22" ht="10.15" x14ac:dyDescent="0.2">
      <c r="A12" s="139" t="s">
        <v>694</v>
      </c>
      <c r="C12" s="139" t="s">
        <v>366</v>
      </c>
      <c r="D12" s="139">
        <v>53214</v>
      </c>
      <c r="E12" s="139">
        <v>63505</v>
      </c>
      <c r="F12" s="139">
        <v>46371</v>
      </c>
      <c r="G12" s="139">
        <v>51651</v>
      </c>
      <c r="H12" s="139">
        <v>48615</v>
      </c>
      <c r="I12" s="139">
        <v>62658</v>
      </c>
      <c r="J12" s="139">
        <v>36477</v>
      </c>
      <c r="K12" s="139">
        <v>67936</v>
      </c>
      <c r="L12" s="139">
        <v>27961</v>
      </c>
      <c r="M12" s="139">
        <v>37830</v>
      </c>
      <c r="N12" s="139">
        <v>35172000</v>
      </c>
      <c r="O12" s="139">
        <v>34370000</v>
      </c>
      <c r="P12" s="139">
        <f t="shared" si="0"/>
        <v>45843</v>
      </c>
      <c r="Q12" s="139">
        <f t="shared" si="1"/>
        <v>53046</v>
      </c>
      <c r="R12" s="139">
        <v>108918</v>
      </c>
      <c r="S12" s="139">
        <f t="shared" si="2"/>
        <v>15614484.480000002</v>
      </c>
      <c r="U12" s="139" t="s">
        <v>366</v>
      </c>
    </row>
    <row r="13" spans="1:22" ht="10.15" x14ac:dyDescent="0.2">
      <c r="A13" s="139" t="s">
        <v>690</v>
      </c>
      <c r="C13" s="139" t="s">
        <v>435</v>
      </c>
      <c r="D13" s="139">
        <v>1450</v>
      </c>
      <c r="E13" s="139">
        <v>1767</v>
      </c>
      <c r="F13" s="139">
        <v>4558</v>
      </c>
      <c r="G13" s="139">
        <v>4792</v>
      </c>
      <c r="H13" s="139">
        <v>2880</v>
      </c>
      <c r="I13" s="139">
        <v>2674</v>
      </c>
      <c r="J13" s="139">
        <v>1641</v>
      </c>
      <c r="K13" s="139">
        <v>1409</v>
      </c>
      <c r="L13" s="139">
        <v>1495</v>
      </c>
      <c r="M13" s="139">
        <v>1364</v>
      </c>
      <c r="N13" s="139">
        <v>2821000</v>
      </c>
      <c r="O13" s="139">
        <v>2607000</v>
      </c>
      <c r="P13" s="139">
        <f t="shared" si="0"/>
        <v>2927.25</v>
      </c>
      <c r="Q13" s="139">
        <f t="shared" si="1"/>
        <v>2960</v>
      </c>
      <c r="R13" s="139">
        <v>10052</v>
      </c>
      <c r="S13" s="139">
        <f t="shared" si="2"/>
        <v>1441054.7200000002</v>
      </c>
      <c r="U13" s="139" t="s">
        <v>435</v>
      </c>
    </row>
    <row r="14" spans="1:22" ht="10.15" x14ac:dyDescent="0.2">
      <c r="A14" s="139" t="s">
        <v>693</v>
      </c>
      <c r="C14" s="139" t="s">
        <v>198</v>
      </c>
      <c r="D14" s="139">
        <v>607</v>
      </c>
      <c r="E14" s="139">
        <v>608</v>
      </c>
      <c r="F14" s="139">
        <v>517</v>
      </c>
      <c r="G14" s="139">
        <v>580</v>
      </c>
      <c r="H14" s="139">
        <v>281</v>
      </c>
      <c r="I14" s="139">
        <v>281</v>
      </c>
      <c r="J14" s="139">
        <v>22</v>
      </c>
      <c r="K14" s="139">
        <v>22</v>
      </c>
      <c r="L14" s="139">
        <v>9</v>
      </c>
      <c r="M14" s="139">
        <v>10</v>
      </c>
      <c r="N14" s="139">
        <v>21000</v>
      </c>
      <c r="O14" s="139">
        <v>21000</v>
      </c>
      <c r="P14" s="139">
        <f t="shared" si="0"/>
        <v>356.5</v>
      </c>
      <c r="Q14" s="139">
        <f t="shared" si="1"/>
        <v>372.5</v>
      </c>
      <c r="R14" s="139">
        <v>3633</v>
      </c>
      <c r="S14" s="139">
        <f t="shared" si="2"/>
        <v>520826.88000000006</v>
      </c>
      <c r="U14" s="139" t="s">
        <v>198</v>
      </c>
    </row>
    <row r="15" spans="1:22" ht="10.15" x14ac:dyDescent="0.2">
      <c r="A15" s="139" t="s">
        <v>697</v>
      </c>
      <c r="C15" s="139" t="s">
        <v>294</v>
      </c>
      <c r="D15" s="139">
        <v>75003</v>
      </c>
      <c r="E15" s="139">
        <v>80674</v>
      </c>
      <c r="F15" s="139">
        <v>91094</v>
      </c>
      <c r="G15" s="139">
        <v>112404</v>
      </c>
      <c r="H15" s="139">
        <v>41199</v>
      </c>
      <c r="I15" s="139">
        <v>52917</v>
      </c>
      <c r="J15" s="139">
        <v>61019</v>
      </c>
      <c r="K15" s="139">
        <v>80693</v>
      </c>
      <c r="L15" s="139">
        <v>39513</v>
      </c>
      <c r="M15" s="139">
        <v>45157</v>
      </c>
      <c r="N15" s="139">
        <v>68614000</v>
      </c>
      <c r="O15" s="139">
        <v>68627000</v>
      </c>
      <c r="P15" s="139">
        <f t="shared" si="0"/>
        <v>68977.5</v>
      </c>
      <c r="Q15" s="139">
        <f t="shared" si="1"/>
        <v>78655.5</v>
      </c>
      <c r="R15" s="139">
        <v>154338</v>
      </c>
      <c r="S15" s="139">
        <f t="shared" si="2"/>
        <v>22125895.680000003</v>
      </c>
      <c r="U15" s="139" t="s">
        <v>294</v>
      </c>
    </row>
    <row r="16" spans="1:22" ht="10.15" x14ac:dyDescent="0.2">
      <c r="A16" s="139" t="s">
        <v>691</v>
      </c>
      <c r="C16" s="139" t="s">
        <v>321</v>
      </c>
      <c r="D16" s="139">
        <v>21056</v>
      </c>
      <c r="E16" s="139">
        <v>16390</v>
      </c>
      <c r="F16" s="139">
        <v>63170</v>
      </c>
      <c r="G16" s="139">
        <v>62197</v>
      </c>
      <c r="H16" s="139">
        <v>37403</v>
      </c>
      <c r="I16" s="139">
        <v>38365</v>
      </c>
      <c r="J16" s="139">
        <v>21318</v>
      </c>
      <c r="K16" s="139">
        <v>18727</v>
      </c>
      <c r="L16" s="139">
        <v>17065</v>
      </c>
      <c r="M16" s="139">
        <v>15570</v>
      </c>
      <c r="N16" s="139">
        <v>43358000</v>
      </c>
      <c r="O16" s="139">
        <v>31764000</v>
      </c>
      <c r="P16" s="139">
        <f t="shared" si="0"/>
        <v>41246.75</v>
      </c>
      <c r="Q16" s="139">
        <f t="shared" si="1"/>
        <v>37179</v>
      </c>
      <c r="R16" s="139">
        <v>89298</v>
      </c>
      <c r="S16" s="139">
        <f t="shared" si="2"/>
        <v>12801761.280000001</v>
      </c>
      <c r="U16" s="139" t="s">
        <v>321</v>
      </c>
    </row>
    <row r="17" spans="1:21" ht="10.15" x14ac:dyDescent="0.2">
      <c r="A17" s="139" t="s">
        <v>691</v>
      </c>
      <c r="C17" s="139" t="s">
        <v>322</v>
      </c>
      <c r="D17" s="139">
        <v>966851</v>
      </c>
      <c r="E17" s="139">
        <v>935807</v>
      </c>
      <c r="F17" s="139">
        <v>793908</v>
      </c>
      <c r="G17" s="139">
        <v>682078</v>
      </c>
      <c r="H17" s="139">
        <v>971884</v>
      </c>
      <c r="I17" s="139">
        <v>1068193</v>
      </c>
      <c r="J17" s="139">
        <v>1019834</v>
      </c>
      <c r="K17" s="139">
        <v>595748</v>
      </c>
      <c r="L17" s="139">
        <v>1133742</v>
      </c>
      <c r="M17" s="139">
        <v>957530</v>
      </c>
      <c r="N17" s="139">
        <v>1072643000</v>
      </c>
      <c r="O17" s="139">
        <v>708096000</v>
      </c>
      <c r="P17" s="139">
        <f t="shared" si="0"/>
        <v>951321.5</v>
      </c>
      <c r="Q17" s="139">
        <f t="shared" si="1"/>
        <v>848543.5</v>
      </c>
      <c r="R17" s="139">
        <v>848861</v>
      </c>
      <c r="S17" s="139">
        <f t="shared" si="2"/>
        <v>121692712.96000001</v>
      </c>
      <c r="U17" s="139" t="s">
        <v>322</v>
      </c>
    </row>
    <row r="18" spans="1:21" ht="10.15" x14ac:dyDescent="0.2">
      <c r="A18" s="139" t="s">
        <v>692</v>
      </c>
      <c r="C18" s="139" t="s">
        <v>242</v>
      </c>
      <c r="D18" s="139">
        <v>58587</v>
      </c>
      <c r="E18" s="139">
        <v>106864</v>
      </c>
      <c r="F18" s="139">
        <v>38072</v>
      </c>
      <c r="G18" s="139">
        <v>163102</v>
      </c>
      <c r="H18" s="139">
        <v>76986</v>
      </c>
      <c r="I18" s="139">
        <v>45522</v>
      </c>
      <c r="J18" s="139">
        <v>33987</v>
      </c>
      <c r="K18" s="139">
        <v>49696</v>
      </c>
      <c r="L18" s="139">
        <v>22478</v>
      </c>
      <c r="M18" s="139">
        <v>31632</v>
      </c>
      <c r="N18" s="139">
        <v>49320000</v>
      </c>
      <c r="O18" s="139">
        <v>47146000</v>
      </c>
      <c r="P18" s="139">
        <f t="shared" si="0"/>
        <v>55741.25</v>
      </c>
      <c r="Q18" s="139">
        <f t="shared" si="1"/>
        <v>90658.5</v>
      </c>
      <c r="R18" s="139">
        <v>160059</v>
      </c>
      <c r="S18" s="139">
        <f t="shared" si="2"/>
        <v>22946058.240000002</v>
      </c>
      <c r="U18" s="139" t="s">
        <v>242</v>
      </c>
    </row>
    <row r="19" spans="1:21" ht="10.15" x14ac:dyDescent="0.2">
      <c r="A19" s="139" t="s">
        <v>698</v>
      </c>
      <c r="C19" s="139" t="s">
        <v>174</v>
      </c>
      <c r="D19" s="139">
        <v>2079</v>
      </c>
      <c r="E19" s="139">
        <v>3413</v>
      </c>
      <c r="F19" s="139">
        <v>1037</v>
      </c>
      <c r="G19" s="139">
        <v>3025</v>
      </c>
      <c r="H19" s="139">
        <v>1193</v>
      </c>
      <c r="I19" s="139">
        <v>1700</v>
      </c>
      <c r="J19" s="139">
        <v>696</v>
      </c>
      <c r="K19" s="139">
        <v>832</v>
      </c>
      <c r="L19" s="139">
        <v>329</v>
      </c>
      <c r="M19" s="139">
        <v>380</v>
      </c>
      <c r="N19" s="139">
        <v>1906000</v>
      </c>
      <c r="O19" s="139">
        <v>1958000</v>
      </c>
      <c r="P19" s="139">
        <f t="shared" si="0"/>
        <v>1553.75</v>
      </c>
      <c r="Q19" s="139">
        <f t="shared" si="1"/>
        <v>2524</v>
      </c>
      <c r="R19" s="139">
        <v>11967</v>
      </c>
      <c r="S19" s="139">
        <f t="shared" si="2"/>
        <v>1715589.1200000001</v>
      </c>
      <c r="U19" s="139" t="s">
        <v>174</v>
      </c>
    </row>
    <row r="20" spans="1:21" ht="10.15" x14ac:dyDescent="0.2">
      <c r="A20" s="139" t="s">
        <v>692</v>
      </c>
      <c r="C20" s="139" t="s">
        <v>243</v>
      </c>
      <c r="D20" s="139">
        <v>200973</v>
      </c>
      <c r="E20" s="139">
        <v>213990</v>
      </c>
      <c r="F20" s="139">
        <v>80406</v>
      </c>
      <c r="G20" s="139">
        <v>100649</v>
      </c>
      <c r="H20" s="139">
        <v>86518</v>
      </c>
      <c r="I20" s="139">
        <v>99646</v>
      </c>
      <c r="J20" s="139">
        <v>67024</v>
      </c>
      <c r="K20" s="139">
        <v>77480</v>
      </c>
      <c r="L20" s="139">
        <v>47872</v>
      </c>
      <c r="M20" s="139">
        <v>48761</v>
      </c>
      <c r="N20" s="139">
        <v>52451000</v>
      </c>
      <c r="O20" s="139">
        <v>62936000</v>
      </c>
      <c r="P20" s="139">
        <f t="shared" si="0"/>
        <v>105087</v>
      </c>
      <c r="Q20" s="139">
        <f t="shared" si="1"/>
        <v>119305.25</v>
      </c>
      <c r="R20" s="139">
        <v>155721</v>
      </c>
      <c r="S20" s="139">
        <f t="shared" si="2"/>
        <v>22324162.560000002</v>
      </c>
      <c r="U20" s="139" t="s">
        <v>243</v>
      </c>
    </row>
    <row r="21" spans="1:21" ht="10.15" x14ac:dyDescent="0.2">
      <c r="A21" s="139" t="s">
        <v>689</v>
      </c>
      <c r="C21" s="139" t="s">
        <v>162</v>
      </c>
      <c r="D21" s="139">
        <v>16589</v>
      </c>
      <c r="E21" s="139">
        <v>19354</v>
      </c>
      <c r="F21" s="139">
        <v>11757</v>
      </c>
      <c r="G21" s="139">
        <v>17528</v>
      </c>
      <c r="H21" s="139">
        <v>6927</v>
      </c>
      <c r="I21" s="139">
        <v>15560</v>
      </c>
      <c r="J21" s="139">
        <v>5658</v>
      </c>
      <c r="K21" s="139">
        <v>16814</v>
      </c>
      <c r="L21" s="139">
        <v>16271</v>
      </c>
      <c r="M21" s="139">
        <v>25100</v>
      </c>
      <c r="N21" s="139">
        <v>119098000</v>
      </c>
      <c r="O21" s="139">
        <v>106596000</v>
      </c>
      <c r="P21" s="139">
        <f t="shared" si="0"/>
        <v>38592.75</v>
      </c>
      <c r="Q21" s="139">
        <f t="shared" si="1"/>
        <v>39759.5</v>
      </c>
      <c r="R21" s="139">
        <v>67555</v>
      </c>
      <c r="S21" s="139">
        <f t="shared" si="2"/>
        <v>9684684.8000000007</v>
      </c>
      <c r="U21" s="139" t="s">
        <v>162</v>
      </c>
    </row>
    <row r="22" spans="1:21" ht="10.15" x14ac:dyDescent="0.2">
      <c r="A22" s="139" t="s">
        <v>690</v>
      </c>
      <c r="C22" s="139" t="s">
        <v>436</v>
      </c>
      <c r="D22" s="139">
        <v>3133</v>
      </c>
      <c r="E22" s="139">
        <v>2571</v>
      </c>
      <c r="F22" s="139">
        <v>2438</v>
      </c>
      <c r="G22" s="139">
        <v>3079</v>
      </c>
      <c r="H22" s="139">
        <v>6152</v>
      </c>
      <c r="I22" s="139">
        <v>5970</v>
      </c>
      <c r="J22" s="139">
        <v>798</v>
      </c>
      <c r="K22" s="139">
        <v>1002</v>
      </c>
      <c r="L22" s="139">
        <v>3539</v>
      </c>
      <c r="M22" s="139">
        <v>3426</v>
      </c>
      <c r="N22" s="139">
        <v>1697000</v>
      </c>
      <c r="O22" s="139">
        <v>1697000</v>
      </c>
      <c r="P22" s="139">
        <f t="shared" si="0"/>
        <v>3355</v>
      </c>
      <c r="Q22" s="139">
        <f t="shared" si="1"/>
        <v>3329.25</v>
      </c>
      <c r="R22" s="139">
        <v>16709</v>
      </c>
      <c r="S22" s="139">
        <f t="shared" si="2"/>
        <v>2395402.2400000002</v>
      </c>
      <c r="U22" s="139" t="s">
        <v>436</v>
      </c>
    </row>
    <row r="23" spans="1:21" ht="10.15" x14ac:dyDescent="0.2">
      <c r="A23" s="139" t="s">
        <v>690</v>
      </c>
      <c r="C23" s="139" t="s">
        <v>437</v>
      </c>
      <c r="D23" s="139">
        <v>2666</v>
      </c>
      <c r="E23" s="139">
        <v>873</v>
      </c>
      <c r="F23" s="139">
        <v>395</v>
      </c>
      <c r="G23" s="139">
        <v>392</v>
      </c>
      <c r="H23" s="139">
        <v>597</v>
      </c>
      <c r="I23" s="139">
        <v>596</v>
      </c>
      <c r="J23" s="139">
        <v>835</v>
      </c>
      <c r="K23" s="139">
        <v>153</v>
      </c>
      <c r="L23" s="139">
        <v>598</v>
      </c>
      <c r="M23" s="139">
        <v>459</v>
      </c>
      <c r="N23" s="139">
        <v>1863000</v>
      </c>
      <c r="O23" s="139">
        <v>1377000</v>
      </c>
      <c r="P23" s="139">
        <f t="shared" si="0"/>
        <v>1380.25</v>
      </c>
      <c r="Q23" s="139">
        <f t="shared" si="1"/>
        <v>809.5</v>
      </c>
      <c r="R23" s="139">
        <v>6658</v>
      </c>
      <c r="S23" s="139">
        <f t="shared" si="2"/>
        <v>954490.88000000012</v>
      </c>
      <c r="U23" s="139" t="s">
        <v>437</v>
      </c>
    </row>
    <row r="24" spans="1:21" ht="10.15" x14ac:dyDescent="0.2">
      <c r="A24" s="139" t="s">
        <v>697</v>
      </c>
      <c r="C24" s="139" t="s">
        <v>295</v>
      </c>
      <c r="D24" s="139">
        <v>18</v>
      </c>
      <c r="E24" s="139">
        <v>0</v>
      </c>
      <c r="F24" s="139">
        <v>1581</v>
      </c>
      <c r="G24" s="139">
        <v>2838</v>
      </c>
      <c r="H24" s="139">
        <v>17</v>
      </c>
      <c r="I24" s="139">
        <v>446</v>
      </c>
      <c r="J24" s="139">
        <v>0</v>
      </c>
      <c r="K24" s="139">
        <v>41</v>
      </c>
      <c r="L24" s="139">
        <v>0</v>
      </c>
      <c r="M24" s="139">
        <v>82</v>
      </c>
      <c r="N24" s="139">
        <v>0</v>
      </c>
      <c r="O24" s="139">
        <v>35000</v>
      </c>
      <c r="P24" s="139">
        <f t="shared" si="0"/>
        <v>404</v>
      </c>
      <c r="Q24" s="139">
        <f t="shared" si="1"/>
        <v>829.75</v>
      </c>
      <c r="R24" s="139">
        <v>24522</v>
      </c>
      <c r="S24" s="139">
        <f t="shared" si="2"/>
        <v>3515473.9200000004</v>
      </c>
      <c r="U24" s="139" t="s">
        <v>295</v>
      </c>
    </row>
    <row r="25" spans="1:21" ht="10.15" x14ac:dyDescent="0.2">
      <c r="A25" s="139" t="s">
        <v>694</v>
      </c>
      <c r="C25" s="139" t="s">
        <v>367</v>
      </c>
      <c r="D25" s="139">
        <v>25874</v>
      </c>
      <c r="E25" s="139">
        <v>18941</v>
      </c>
      <c r="F25" s="139">
        <v>12587</v>
      </c>
      <c r="G25" s="139">
        <v>11246</v>
      </c>
      <c r="H25" s="139">
        <v>10254</v>
      </c>
      <c r="I25" s="139">
        <v>12177</v>
      </c>
      <c r="J25" s="139">
        <v>13381</v>
      </c>
      <c r="K25" s="139">
        <v>10195</v>
      </c>
      <c r="L25" s="139">
        <v>18140</v>
      </c>
      <c r="M25" s="139">
        <v>18601</v>
      </c>
      <c r="N25" s="139">
        <v>21224000</v>
      </c>
      <c r="O25" s="139">
        <v>19493000</v>
      </c>
      <c r="P25" s="139">
        <f t="shared" si="0"/>
        <v>17484.75</v>
      </c>
      <c r="Q25" s="139">
        <f t="shared" si="1"/>
        <v>15464.25</v>
      </c>
      <c r="R25" s="139">
        <v>48344</v>
      </c>
      <c r="S25" s="139">
        <f t="shared" si="2"/>
        <v>6930595.8400000008</v>
      </c>
      <c r="U25" s="139" t="s">
        <v>367</v>
      </c>
    </row>
    <row r="26" spans="1:21" ht="10.15" x14ac:dyDescent="0.2">
      <c r="A26" s="139" t="s">
        <v>692</v>
      </c>
      <c r="C26" s="139" t="s">
        <v>244</v>
      </c>
      <c r="D26" s="139">
        <v>25217</v>
      </c>
      <c r="E26" s="139">
        <v>26918</v>
      </c>
      <c r="F26" s="139">
        <v>18747</v>
      </c>
      <c r="G26" s="139">
        <v>17894</v>
      </c>
      <c r="H26" s="139">
        <v>33092</v>
      </c>
      <c r="I26" s="139">
        <v>65289</v>
      </c>
      <c r="J26" s="139">
        <v>40872</v>
      </c>
      <c r="K26" s="139">
        <v>40870</v>
      </c>
      <c r="L26" s="139">
        <v>29456</v>
      </c>
      <c r="M26" s="139">
        <v>33080</v>
      </c>
      <c r="N26" s="139">
        <v>15802000</v>
      </c>
      <c r="O26" s="139">
        <v>15940000</v>
      </c>
      <c r="P26" s="139">
        <f t="shared" si="0"/>
        <v>23214.5</v>
      </c>
      <c r="Q26" s="139">
        <f t="shared" si="1"/>
        <v>31510.25</v>
      </c>
      <c r="R26" s="139">
        <v>56371</v>
      </c>
      <c r="S26" s="139">
        <f t="shared" si="2"/>
        <v>8081346.5600000005</v>
      </c>
      <c r="U26" s="139" t="s">
        <v>244</v>
      </c>
    </row>
    <row r="27" spans="1:21" ht="10.15" x14ac:dyDescent="0.2">
      <c r="A27" s="139" t="s">
        <v>698</v>
      </c>
      <c r="C27" s="139" t="s">
        <v>175</v>
      </c>
      <c r="D27" s="139">
        <v>725</v>
      </c>
      <c r="E27" s="139">
        <v>515</v>
      </c>
      <c r="F27" s="139">
        <v>818</v>
      </c>
      <c r="G27" s="139">
        <v>1978</v>
      </c>
      <c r="H27" s="139">
        <v>326</v>
      </c>
      <c r="I27" s="139">
        <v>498</v>
      </c>
      <c r="J27" s="139">
        <v>324</v>
      </c>
      <c r="K27" s="139">
        <v>516</v>
      </c>
      <c r="L27" s="139">
        <v>465</v>
      </c>
      <c r="M27" s="139">
        <v>674</v>
      </c>
      <c r="N27" s="139">
        <v>355000</v>
      </c>
      <c r="O27" s="139">
        <v>416000</v>
      </c>
      <c r="P27" s="139">
        <f t="shared" si="0"/>
        <v>556</v>
      </c>
      <c r="Q27" s="139">
        <f t="shared" si="1"/>
        <v>851.75</v>
      </c>
      <c r="R27" s="139">
        <v>10480</v>
      </c>
      <c r="S27" s="139">
        <f t="shared" si="2"/>
        <v>1502412.8</v>
      </c>
      <c r="U27" s="139" t="s">
        <v>175</v>
      </c>
    </row>
    <row r="28" spans="1:21" ht="10.15" x14ac:dyDescent="0.2">
      <c r="A28" s="139" t="s">
        <v>699</v>
      </c>
      <c r="C28" s="139" t="s">
        <v>497</v>
      </c>
      <c r="D28" s="139">
        <v>1518</v>
      </c>
      <c r="E28" s="139">
        <v>1635</v>
      </c>
      <c r="F28" s="139">
        <v>1399</v>
      </c>
      <c r="G28" s="139">
        <v>1507</v>
      </c>
      <c r="H28" s="139">
        <v>1111</v>
      </c>
      <c r="I28" s="139">
        <v>1394</v>
      </c>
      <c r="J28" s="139">
        <v>688</v>
      </c>
      <c r="K28" s="139">
        <v>1190</v>
      </c>
      <c r="L28" s="139">
        <v>1832</v>
      </c>
      <c r="M28" s="139">
        <v>1680</v>
      </c>
      <c r="N28" s="139">
        <v>1546000</v>
      </c>
      <c r="O28" s="139">
        <v>1287000</v>
      </c>
      <c r="P28" s="139">
        <f t="shared" si="0"/>
        <v>1393.5</v>
      </c>
      <c r="Q28" s="139">
        <f t="shared" si="1"/>
        <v>1455.75</v>
      </c>
      <c r="R28" s="139">
        <v>15945</v>
      </c>
      <c r="S28" s="139">
        <f t="shared" si="2"/>
        <v>2285875.2000000002</v>
      </c>
      <c r="U28" s="139" t="s">
        <v>497</v>
      </c>
    </row>
    <row r="29" spans="1:21" ht="10.15" x14ac:dyDescent="0.2">
      <c r="A29" s="139" t="s">
        <v>691</v>
      </c>
      <c r="C29" s="139" t="s">
        <v>323</v>
      </c>
      <c r="D29" s="139">
        <v>11057</v>
      </c>
      <c r="E29" s="139">
        <v>12358</v>
      </c>
      <c r="F29" s="139">
        <v>27117</v>
      </c>
      <c r="G29" s="139">
        <v>23159</v>
      </c>
      <c r="H29" s="139">
        <v>9533</v>
      </c>
      <c r="I29" s="139">
        <v>8891</v>
      </c>
      <c r="J29" s="139">
        <v>6891</v>
      </c>
      <c r="K29" s="139">
        <v>6185</v>
      </c>
      <c r="L29" s="139">
        <v>6189</v>
      </c>
      <c r="M29" s="139">
        <v>6405</v>
      </c>
      <c r="N29" s="139">
        <v>2298000</v>
      </c>
      <c r="O29" s="139">
        <v>2348000</v>
      </c>
      <c r="P29" s="139">
        <f t="shared" si="0"/>
        <v>12501.25</v>
      </c>
      <c r="Q29" s="139">
        <f t="shared" si="1"/>
        <v>11689</v>
      </c>
      <c r="R29" s="139">
        <v>9208</v>
      </c>
      <c r="S29" s="139">
        <f t="shared" si="2"/>
        <v>1320058.8800000001</v>
      </c>
      <c r="U29" s="139" t="s">
        <v>323</v>
      </c>
    </row>
    <row r="30" spans="1:21" ht="10.15" x14ac:dyDescent="0.2">
      <c r="A30" s="139" t="s">
        <v>699</v>
      </c>
      <c r="C30" s="139" t="s">
        <v>498</v>
      </c>
      <c r="D30" s="139">
        <v>461</v>
      </c>
      <c r="E30" s="139">
        <v>386</v>
      </c>
      <c r="F30" s="139">
        <v>490</v>
      </c>
      <c r="G30" s="139">
        <v>437</v>
      </c>
      <c r="H30" s="139">
        <v>659</v>
      </c>
      <c r="I30" s="139">
        <v>623</v>
      </c>
      <c r="J30" s="139">
        <v>3310</v>
      </c>
      <c r="K30" s="139">
        <v>3297</v>
      </c>
      <c r="L30" s="139">
        <v>1296</v>
      </c>
      <c r="M30" s="139">
        <v>1072</v>
      </c>
      <c r="N30" s="139">
        <v>2666000</v>
      </c>
      <c r="O30" s="139">
        <v>2726000</v>
      </c>
      <c r="P30" s="139">
        <f t="shared" si="0"/>
        <v>1069</v>
      </c>
      <c r="Q30" s="139">
        <f t="shared" si="1"/>
        <v>1043</v>
      </c>
      <c r="R30" s="139">
        <v>13407</v>
      </c>
      <c r="S30" s="139">
        <f t="shared" si="2"/>
        <v>1922027.5200000003</v>
      </c>
      <c r="U30" s="139" t="s">
        <v>498</v>
      </c>
    </row>
    <row r="31" spans="1:21" ht="10.15" x14ac:dyDescent="0.2">
      <c r="A31" s="139" t="s">
        <v>698</v>
      </c>
      <c r="C31" s="139" t="s">
        <v>176</v>
      </c>
      <c r="D31" s="139">
        <v>0</v>
      </c>
      <c r="E31" s="139">
        <v>0</v>
      </c>
      <c r="F31" s="139">
        <v>104</v>
      </c>
      <c r="G31" s="139">
        <v>104</v>
      </c>
      <c r="H31" s="139">
        <v>0</v>
      </c>
      <c r="I31" s="139">
        <v>0</v>
      </c>
      <c r="J31" s="139">
        <v>0</v>
      </c>
      <c r="K31" s="139">
        <v>0</v>
      </c>
      <c r="L31" s="139">
        <v>0</v>
      </c>
      <c r="M31" s="139">
        <v>0</v>
      </c>
      <c r="N31" s="139">
        <v>0</v>
      </c>
      <c r="O31" s="139">
        <v>0</v>
      </c>
      <c r="P31" s="139">
        <f t="shared" si="0"/>
        <v>26</v>
      </c>
      <c r="Q31" s="139">
        <f t="shared" si="1"/>
        <v>26</v>
      </c>
      <c r="R31" s="139">
        <v>8920</v>
      </c>
      <c r="S31" s="139">
        <f t="shared" si="2"/>
        <v>1278771.2000000002</v>
      </c>
      <c r="U31" s="139" t="s">
        <v>176</v>
      </c>
    </row>
    <row r="32" spans="1:21" ht="10.15" x14ac:dyDescent="0.2">
      <c r="A32" s="139" t="s">
        <v>692</v>
      </c>
      <c r="C32" s="139" t="s">
        <v>700</v>
      </c>
      <c r="D32" s="139">
        <v>5645</v>
      </c>
      <c r="E32" s="139">
        <v>5843</v>
      </c>
      <c r="F32" s="139">
        <v>6365</v>
      </c>
      <c r="G32" s="139">
        <v>5708</v>
      </c>
      <c r="H32" s="139">
        <v>4180</v>
      </c>
      <c r="I32" s="139">
        <v>4161</v>
      </c>
      <c r="J32" s="139">
        <v>5403</v>
      </c>
      <c r="K32" s="139">
        <v>5824</v>
      </c>
      <c r="L32" s="139">
        <v>2465</v>
      </c>
      <c r="M32" s="139">
        <v>4041</v>
      </c>
      <c r="N32" s="139">
        <v>3374000</v>
      </c>
      <c r="O32" s="139">
        <v>3946000</v>
      </c>
      <c r="P32" s="139">
        <f t="shared" si="0"/>
        <v>4891</v>
      </c>
      <c r="Q32" s="139">
        <f t="shared" si="1"/>
        <v>4914.5</v>
      </c>
      <c r="R32" s="139">
        <v>34803</v>
      </c>
      <c r="S32" s="139">
        <f t="shared" si="2"/>
        <v>4989358.0800000001</v>
      </c>
      <c r="U32" s="139" t="s">
        <v>700</v>
      </c>
    </row>
    <row r="33" spans="1:21" ht="10.15" x14ac:dyDescent="0.2">
      <c r="A33" s="139" t="s">
        <v>690</v>
      </c>
      <c r="C33" s="139" t="s">
        <v>438</v>
      </c>
      <c r="D33" s="139">
        <v>10002</v>
      </c>
      <c r="E33" s="139">
        <v>10057</v>
      </c>
      <c r="F33" s="139">
        <v>12340</v>
      </c>
      <c r="G33" s="139">
        <v>12303</v>
      </c>
      <c r="H33" s="139">
        <v>19222</v>
      </c>
      <c r="I33" s="139">
        <v>19190</v>
      </c>
      <c r="J33" s="139">
        <v>6783</v>
      </c>
      <c r="K33" s="139">
        <v>7312</v>
      </c>
      <c r="L33" s="139">
        <v>4899</v>
      </c>
      <c r="M33" s="139">
        <v>6704</v>
      </c>
      <c r="N33" s="139">
        <v>5497000</v>
      </c>
      <c r="O33" s="139">
        <v>3141000</v>
      </c>
      <c r="P33" s="139">
        <f t="shared" si="0"/>
        <v>11765.25</v>
      </c>
      <c r="Q33" s="139">
        <f t="shared" si="1"/>
        <v>11172.75</v>
      </c>
      <c r="R33" s="139">
        <v>18352</v>
      </c>
      <c r="S33" s="139">
        <f t="shared" si="2"/>
        <v>2630942.7200000002</v>
      </c>
      <c r="U33" s="139" t="s">
        <v>438</v>
      </c>
    </row>
    <row r="34" spans="1:21" ht="10.15" x14ac:dyDescent="0.2">
      <c r="A34" s="139" t="s">
        <v>699</v>
      </c>
      <c r="C34" s="139" t="s">
        <v>537</v>
      </c>
      <c r="D34" s="139">
        <v>1456</v>
      </c>
      <c r="E34" s="139">
        <v>1554</v>
      </c>
      <c r="F34" s="139">
        <v>1654</v>
      </c>
      <c r="G34" s="139">
        <v>1760</v>
      </c>
      <c r="H34" s="139">
        <v>934</v>
      </c>
      <c r="I34" s="139">
        <v>1251</v>
      </c>
      <c r="J34" s="139">
        <v>917</v>
      </c>
      <c r="K34" s="139">
        <v>1060</v>
      </c>
      <c r="L34" s="139">
        <v>42</v>
      </c>
      <c r="M34" s="139">
        <v>188</v>
      </c>
      <c r="N34" s="139">
        <v>30000</v>
      </c>
      <c r="O34" s="139">
        <v>106000</v>
      </c>
      <c r="P34" s="139">
        <f t="shared" si="0"/>
        <v>1018.5</v>
      </c>
      <c r="Q34" s="139">
        <f t="shared" si="1"/>
        <v>1167.75</v>
      </c>
      <c r="R34" s="139">
        <v>13095</v>
      </c>
      <c r="S34" s="139">
        <f t="shared" si="2"/>
        <v>1877299.2000000002</v>
      </c>
      <c r="U34" s="139" t="s">
        <v>537</v>
      </c>
    </row>
    <row r="35" spans="1:21" ht="10.15" x14ac:dyDescent="0.2">
      <c r="A35" s="139" t="s">
        <v>691</v>
      </c>
      <c r="C35" s="139" t="s">
        <v>538</v>
      </c>
      <c r="D35" s="139">
        <v>612</v>
      </c>
      <c r="E35" s="139">
        <v>698</v>
      </c>
      <c r="F35" s="139">
        <v>3964</v>
      </c>
      <c r="G35" s="139">
        <v>6090</v>
      </c>
      <c r="H35" s="139">
        <v>1375</v>
      </c>
      <c r="I35" s="139">
        <v>510</v>
      </c>
      <c r="J35" s="139">
        <v>4564</v>
      </c>
      <c r="K35" s="139">
        <v>1737</v>
      </c>
      <c r="L35" s="139">
        <v>1913</v>
      </c>
      <c r="M35" s="139">
        <v>3670</v>
      </c>
      <c r="N35" s="139">
        <v>1944000</v>
      </c>
      <c r="O35" s="139">
        <v>836000</v>
      </c>
      <c r="P35" s="139">
        <f t="shared" si="0"/>
        <v>1973.75</v>
      </c>
      <c r="Q35" s="139">
        <f t="shared" si="1"/>
        <v>2033.5</v>
      </c>
      <c r="R35" s="139">
        <v>29839</v>
      </c>
      <c r="S35" s="139">
        <f t="shared" si="2"/>
        <v>4277719.04</v>
      </c>
      <c r="U35" s="139" t="s">
        <v>538</v>
      </c>
    </row>
    <row r="36" spans="1:21" ht="10.15" x14ac:dyDescent="0.2">
      <c r="A36" s="139" t="s">
        <v>690</v>
      </c>
      <c r="C36" s="139" t="s">
        <v>439</v>
      </c>
      <c r="D36" s="139">
        <v>75379</v>
      </c>
      <c r="E36" s="139">
        <v>89926</v>
      </c>
      <c r="F36" s="139">
        <v>128525</v>
      </c>
      <c r="G36" s="139">
        <v>139224</v>
      </c>
      <c r="H36" s="139">
        <v>31487</v>
      </c>
      <c r="I36" s="139">
        <v>11063</v>
      </c>
      <c r="J36" s="139">
        <v>30041</v>
      </c>
      <c r="K36" s="139">
        <v>28675</v>
      </c>
      <c r="L36" s="139">
        <v>22401</v>
      </c>
      <c r="M36" s="139">
        <v>65284</v>
      </c>
      <c r="N36" s="139">
        <v>6572000</v>
      </c>
      <c r="O36" s="139">
        <v>3225000</v>
      </c>
      <c r="P36" s="139">
        <f t="shared" si="0"/>
        <v>60490.75</v>
      </c>
      <c r="Q36" s="139">
        <f t="shared" si="1"/>
        <v>60859.5</v>
      </c>
      <c r="R36" s="139">
        <v>66211</v>
      </c>
      <c r="S36" s="139">
        <f t="shared" si="2"/>
        <v>9492008.9600000009</v>
      </c>
      <c r="U36" s="139" t="s">
        <v>439</v>
      </c>
    </row>
    <row r="37" spans="1:21" ht="10.15" x14ac:dyDescent="0.2">
      <c r="A37" s="139" t="s">
        <v>692</v>
      </c>
      <c r="C37" s="139" t="s">
        <v>245</v>
      </c>
      <c r="D37" s="139">
        <v>7684</v>
      </c>
      <c r="E37" s="139">
        <v>13062</v>
      </c>
      <c r="F37" s="139">
        <v>5615</v>
      </c>
      <c r="G37" s="139">
        <v>5455</v>
      </c>
      <c r="H37" s="139">
        <v>3410</v>
      </c>
      <c r="I37" s="139">
        <v>3960</v>
      </c>
      <c r="J37" s="139">
        <v>4987</v>
      </c>
      <c r="K37" s="139">
        <v>6404</v>
      </c>
      <c r="L37" s="139">
        <v>1652</v>
      </c>
      <c r="M37" s="139">
        <v>2184</v>
      </c>
      <c r="N37" s="139">
        <v>1468000</v>
      </c>
      <c r="O37" s="139">
        <v>1556000</v>
      </c>
      <c r="P37" s="139">
        <f t="shared" si="0"/>
        <v>4544.25</v>
      </c>
      <c r="Q37" s="139">
        <f t="shared" si="1"/>
        <v>6008.25</v>
      </c>
      <c r="R37" s="139">
        <v>44231</v>
      </c>
      <c r="S37" s="139">
        <f t="shared" si="2"/>
        <v>6340956.1600000001</v>
      </c>
      <c r="U37" s="139" t="s">
        <v>245</v>
      </c>
    </row>
    <row r="38" spans="1:21" ht="10.15" x14ac:dyDescent="0.2">
      <c r="A38" s="139" t="s">
        <v>690</v>
      </c>
      <c r="C38" s="139" t="s">
        <v>440</v>
      </c>
      <c r="D38" s="139">
        <v>16803</v>
      </c>
      <c r="E38" s="139">
        <v>18798</v>
      </c>
      <c r="F38" s="139">
        <v>9845</v>
      </c>
      <c r="G38" s="139">
        <v>9618</v>
      </c>
      <c r="H38" s="139">
        <v>13688</v>
      </c>
      <c r="I38" s="139">
        <v>18470</v>
      </c>
      <c r="J38" s="139">
        <v>7744</v>
      </c>
      <c r="K38" s="139">
        <v>6479</v>
      </c>
      <c r="L38" s="139">
        <v>11024</v>
      </c>
      <c r="M38" s="139">
        <v>10775</v>
      </c>
      <c r="N38" s="139">
        <v>9142000</v>
      </c>
      <c r="O38" s="139">
        <v>8396000</v>
      </c>
      <c r="P38" s="139">
        <f t="shared" si="0"/>
        <v>12369.5</v>
      </c>
      <c r="Q38" s="139">
        <f t="shared" si="1"/>
        <v>13820.5</v>
      </c>
      <c r="R38" s="139">
        <v>30256</v>
      </c>
      <c r="S38" s="139">
        <f t="shared" si="2"/>
        <v>4337500.1600000001</v>
      </c>
      <c r="U38" s="139" t="s">
        <v>440</v>
      </c>
    </row>
    <row r="39" spans="1:21" ht="10.15" x14ac:dyDescent="0.2">
      <c r="A39" s="139" t="s">
        <v>690</v>
      </c>
      <c r="C39" s="139" t="s">
        <v>441</v>
      </c>
      <c r="D39" s="139">
        <v>15156</v>
      </c>
      <c r="E39" s="139">
        <v>20966</v>
      </c>
      <c r="F39" s="139">
        <v>9681</v>
      </c>
      <c r="G39" s="139">
        <v>23577</v>
      </c>
      <c r="H39" s="139">
        <v>15720</v>
      </c>
      <c r="I39" s="139">
        <v>31540</v>
      </c>
      <c r="J39" s="139">
        <v>9067</v>
      </c>
      <c r="K39" s="139">
        <v>11899</v>
      </c>
      <c r="L39" s="139">
        <v>11600</v>
      </c>
      <c r="M39" s="139">
        <v>8186</v>
      </c>
      <c r="N39" s="139">
        <v>8661000</v>
      </c>
      <c r="O39" s="139">
        <v>7421000</v>
      </c>
      <c r="P39" s="139">
        <f t="shared" si="0"/>
        <v>12304.5</v>
      </c>
      <c r="Q39" s="139">
        <f t="shared" si="1"/>
        <v>20876</v>
      </c>
      <c r="R39" s="139">
        <v>29175</v>
      </c>
      <c r="S39" s="139">
        <f t="shared" si="2"/>
        <v>4182528.0000000005</v>
      </c>
      <c r="U39" s="139" t="s">
        <v>441</v>
      </c>
    </row>
    <row r="40" spans="1:21" ht="10.15" x14ac:dyDescent="0.2">
      <c r="A40" s="139" t="s">
        <v>692</v>
      </c>
      <c r="C40" s="139" t="s">
        <v>246</v>
      </c>
      <c r="D40" s="139">
        <v>29974</v>
      </c>
      <c r="E40" s="139">
        <v>62104</v>
      </c>
      <c r="F40" s="139">
        <v>8075</v>
      </c>
      <c r="G40" s="139">
        <v>14370</v>
      </c>
      <c r="H40" s="139">
        <v>8274</v>
      </c>
      <c r="I40" s="139">
        <v>8087</v>
      </c>
      <c r="J40" s="139">
        <v>11338</v>
      </c>
      <c r="K40" s="139">
        <v>12554</v>
      </c>
      <c r="L40" s="139">
        <v>23512</v>
      </c>
      <c r="M40" s="139">
        <v>16514</v>
      </c>
      <c r="N40" s="139">
        <v>31449000</v>
      </c>
      <c r="O40" s="139">
        <v>31314000</v>
      </c>
      <c r="P40" s="139">
        <f t="shared" si="0"/>
        <v>19443</v>
      </c>
      <c r="Q40" s="139">
        <f t="shared" si="1"/>
        <v>28968.75</v>
      </c>
      <c r="R40" s="139">
        <v>25426</v>
      </c>
      <c r="S40" s="139">
        <f t="shared" si="2"/>
        <v>3645071.3600000003</v>
      </c>
      <c r="U40" s="139" t="s">
        <v>246</v>
      </c>
    </row>
    <row r="41" spans="1:21" ht="10.15" x14ac:dyDescent="0.2">
      <c r="A41" s="139" t="s">
        <v>691</v>
      </c>
      <c r="C41" s="139" t="s">
        <v>324</v>
      </c>
      <c r="D41" s="139">
        <v>9109</v>
      </c>
      <c r="E41" s="139">
        <v>8471</v>
      </c>
      <c r="F41" s="139">
        <v>20492</v>
      </c>
      <c r="G41" s="139">
        <v>16306</v>
      </c>
      <c r="H41" s="139">
        <v>2157</v>
      </c>
      <c r="I41" s="139">
        <v>3350</v>
      </c>
      <c r="J41" s="139">
        <v>2604</v>
      </c>
      <c r="K41" s="139">
        <v>2758</v>
      </c>
      <c r="L41" s="139">
        <v>3650</v>
      </c>
      <c r="M41" s="139">
        <v>2346</v>
      </c>
      <c r="N41" s="139">
        <v>5587000</v>
      </c>
      <c r="O41" s="139">
        <v>3038000</v>
      </c>
      <c r="P41" s="139">
        <f t="shared" si="0"/>
        <v>9336.25</v>
      </c>
      <c r="Q41" s="139">
        <f t="shared" si="1"/>
        <v>7791.25</v>
      </c>
      <c r="R41" s="139">
        <v>40696</v>
      </c>
      <c r="S41" s="139">
        <f t="shared" si="2"/>
        <v>5834178.5600000005</v>
      </c>
      <c r="U41" s="139" t="s">
        <v>324</v>
      </c>
    </row>
    <row r="42" spans="1:21" ht="10.15" x14ac:dyDescent="0.2">
      <c r="A42" s="139" t="s">
        <v>694</v>
      </c>
      <c r="C42" s="139" t="s">
        <v>368</v>
      </c>
      <c r="D42" s="139">
        <v>9062</v>
      </c>
      <c r="E42" s="139">
        <v>9510</v>
      </c>
      <c r="F42" s="139">
        <v>4621</v>
      </c>
      <c r="G42" s="139">
        <v>7855</v>
      </c>
      <c r="H42" s="139">
        <v>4506</v>
      </c>
      <c r="I42" s="139">
        <v>6177</v>
      </c>
      <c r="J42" s="139">
        <v>1563</v>
      </c>
      <c r="K42" s="139">
        <v>3334</v>
      </c>
      <c r="L42" s="139">
        <v>2693</v>
      </c>
      <c r="M42" s="139">
        <v>3057</v>
      </c>
      <c r="N42" s="139">
        <v>3312000</v>
      </c>
      <c r="O42" s="139">
        <v>2832000</v>
      </c>
      <c r="P42" s="139">
        <f t="shared" si="0"/>
        <v>5375.25</v>
      </c>
      <c r="Q42" s="139">
        <f t="shared" si="1"/>
        <v>6593.5</v>
      </c>
      <c r="R42" s="139">
        <v>29122</v>
      </c>
      <c r="S42" s="139">
        <f t="shared" si="2"/>
        <v>4174929.9200000004</v>
      </c>
      <c r="U42" s="139" t="s">
        <v>368</v>
      </c>
    </row>
    <row r="43" spans="1:21" ht="10.15" x14ac:dyDescent="0.2">
      <c r="A43" s="139" t="s">
        <v>690</v>
      </c>
      <c r="C43" s="139" t="s">
        <v>442</v>
      </c>
      <c r="D43" s="139">
        <v>2652</v>
      </c>
      <c r="E43" s="139">
        <v>4025</v>
      </c>
      <c r="F43" s="139">
        <v>5229</v>
      </c>
      <c r="G43" s="139">
        <v>5053</v>
      </c>
      <c r="H43" s="139">
        <v>2085</v>
      </c>
      <c r="I43" s="139">
        <v>2501</v>
      </c>
      <c r="J43" s="139">
        <v>2871</v>
      </c>
      <c r="K43" s="139">
        <v>3924</v>
      </c>
      <c r="L43" s="139">
        <v>2140</v>
      </c>
      <c r="M43" s="139">
        <v>1656</v>
      </c>
      <c r="N43" s="139">
        <v>2594000</v>
      </c>
      <c r="O43" s="139">
        <v>1735000</v>
      </c>
      <c r="P43" s="139">
        <f t="shared" si="0"/>
        <v>3140</v>
      </c>
      <c r="Q43" s="139">
        <f t="shared" si="1"/>
        <v>3328.5</v>
      </c>
      <c r="R43" s="139">
        <v>20061</v>
      </c>
      <c r="S43" s="139">
        <f t="shared" si="2"/>
        <v>2875944.9600000004</v>
      </c>
      <c r="U43" s="139" t="s">
        <v>442</v>
      </c>
    </row>
    <row r="44" spans="1:21" ht="10.15" x14ac:dyDescent="0.2">
      <c r="A44" s="139" t="s">
        <v>691</v>
      </c>
      <c r="C44" s="139" t="s">
        <v>325</v>
      </c>
      <c r="D44" s="139">
        <v>9259</v>
      </c>
      <c r="E44" s="139">
        <v>8089</v>
      </c>
      <c r="F44" s="139">
        <v>9680</v>
      </c>
      <c r="G44" s="139">
        <v>8631</v>
      </c>
      <c r="H44" s="139">
        <v>6632</v>
      </c>
      <c r="I44" s="139">
        <v>6756</v>
      </c>
      <c r="J44" s="139">
        <v>6145</v>
      </c>
      <c r="K44" s="139">
        <v>6325</v>
      </c>
      <c r="L44" s="139">
        <v>6445</v>
      </c>
      <c r="M44" s="139">
        <v>6590</v>
      </c>
      <c r="N44" s="139">
        <v>15071000</v>
      </c>
      <c r="O44" s="139">
        <v>15180000</v>
      </c>
      <c r="P44" s="139">
        <f t="shared" si="0"/>
        <v>10160.5</v>
      </c>
      <c r="Q44" s="139">
        <f t="shared" si="1"/>
        <v>9664</v>
      </c>
      <c r="R44" s="139">
        <v>10194</v>
      </c>
      <c r="S44" s="139">
        <f t="shared" si="2"/>
        <v>1461411.8400000001</v>
      </c>
      <c r="U44" s="139" t="s">
        <v>325</v>
      </c>
    </row>
    <row r="45" spans="1:21" ht="10.15" x14ac:dyDescent="0.2">
      <c r="A45" s="139" t="s">
        <v>691</v>
      </c>
      <c r="C45" s="139" t="s">
        <v>326</v>
      </c>
      <c r="D45" s="139">
        <v>2986</v>
      </c>
      <c r="E45" s="139">
        <v>2196</v>
      </c>
      <c r="F45" s="139">
        <v>169</v>
      </c>
      <c r="G45" s="139">
        <v>455</v>
      </c>
      <c r="H45" s="139">
        <v>671</v>
      </c>
      <c r="I45" s="139">
        <v>1160</v>
      </c>
      <c r="J45" s="139">
        <v>948</v>
      </c>
      <c r="K45" s="139">
        <v>1317</v>
      </c>
      <c r="L45" s="139">
        <v>11312</v>
      </c>
      <c r="M45" s="139">
        <v>10185</v>
      </c>
      <c r="N45" s="139">
        <v>13959000</v>
      </c>
      <c r="O45" s="139">
        <v>13840000</v>
      </c>
      <c r="P45" s="139">
        <f t="shared" si="0"/>
        <v>4446.25</v>
      </c>
      <c r="Q45" s="139">
        <f t="shared" si="1"/>
        <v>4412.75</v>
      </c>
      <c r="R45" s="139">
        <v>22826</v>
      </c>
      <c r="S45" s="139">
        <f t="shared" si="2"/>
        <v>3272335.3600000003</v>
      </c>
      <c r="U45" s="139" t="s">
        <v>326</v>
      </c>
    </row>
    <row r="46" spans="1:21" ht="10.15" x14ac:dyDescent="0.2">
      <c r="A46" s="139" t="s">
        <v>694</v>
      </c>
      <c r="C46" s="139" t="s">
        <v>369</v>
      </c>
      <c r="D46" s="139">
        <v>11571</v>
      </c>
      <c r="E46" s="139">
        <v>12813</v>
      </c>
      <c r="F46" s="139">
        <v>12481</v>
      </c>
      <c r="G46" s="139">
        <v>21905</v>
      </c>
      <c r="H46" s="139">
        <v>45691</v>
      </c>
      <c r="I46" s="139">
        <v>50855</v>
      </c>
      <c r="J46" s="139">
        <v>26574</v>
      </c>
      <c r="K46" s="139">
        <v>38042</v>
      </c>
      <c r="L46" s="139">
        <v>18154</v>
      </c>
      <c r="M46" s="139">
        <v>16299</v>
      </c>
      <c r="N46" s="139">
        <v>8828000</v>
      </c>
      <c r="O46" s="139">
        <v>8478000</v>
      </c>
      <c r="P46" s="139">
        <f t="shared" si="0"/>
        <v>19642.75</v>
      </c>
      <c r="Q46" s="139">
        <f t="shared" si="1"/>
        <v>23512.75</v>
      </c>
      <c r="R46" s="139">
        <v>33731</v>
      </c>
      <c r="S46" s="139">
        <f t="shared" si="2"/>
        <v>4835676.1600000001</v>
      </c>
      <c r="U46" s="139" t="s">
        <v>369</v>
      </c>
    </row>
    <row r="47" spans="1:21" ht="10.15" x14ac:dyDescent="0.2">
      <c r="A47" s="139" t="s">
        <v>690</v>
      </c>
      <c r="C47" s="139" t="s">
        <v>443</v>
      </c>
      <c r="D47" s="139">
        <v>6653</v>
      </c>
      <c r="E47" s="139">
        <v>6126</v>
      </c>
      <c r="F47" s="139">
        <v>2971</v>
      </c>
      <c r="G47" s="139">
        <v>2860</v>
      </c>
      <c r="H47" s="139">
        <v>6004</v>
      </c>
      <c r="I47" s="139">
        <v>8521</v>
      </c>
      <c r="J47" s="139">
        <v>1871</v>
      </c>
      <c r="K47" s="139">
        <v>2961</v>
      </c>
      <c r="L47" s="139">
        <v>4355</v>
      </c>
      <c r="M47" s="139">
        <v>4750</v>
      </c>
      <c r="N47" s="139">
        <v>8438000</v>
      </c>
      <c r="O47" s="139">
        <v>8370000</v>
      </c>
      <c r="P47" s="139">
        <f t="shared" si="0"/>
        <v>6016.5</v>
      </c>
      <c r="Q47" s="139">
        <f t="shared" si="1"/>
        <v>6469.25</v>
      </c>
      <c r="R47" s="139">
        <v>10413</v>
      </c>
      <c r="S47" s="139">
        <f t="shared" si="2"/>
        <v>1492807.6800000002</v>
      </c>
      <c r="U47" s="139" t="s">
        <v>443</v>
      </c>
    </row>
    <row r="48" spans="1:21" ht="10.15" x14ac:dyDescent="0.2">
      <c r="A48" s="139" t="s">
        <v>689</v>
      </c>
      <c r="C48" s="139" t="s">
        <v>163</v>
      </c>
      <c r="D48" s="139">
        <v>2507</v>
      </c>
      <c r="E48" s="139">
        <v>2841</v>
      </c>
      <c r="F48" s="139">
        <v>3086</v>
      </c>
      <c r="G48" s="139">
        <v>2988</v>
      </c>
      <c r="H48" s="139">
        <v>1725</v>
      </c>
      <c r="I48" s="139">
        <v>2898</v>
      </c>
      <c r="J48" s="139">
        <v>1870</v>
      </c>
      <c r="K48" s="139">
        <v>2007</v>
      </c>
      <c r="L48" s="139">
        <v>1419</v>
      </c>
      <c r="M48" s="139">
        <v>1621</v>
      </c>
      <c r="N48" s="139">
        <v>2718000</v>
      </c>
      <c r="O48" s="139">
        <v>2248000</v>
      </c>
      <c r="P48" s="139">
        <f t="shared" si="0"/>
        <v>2509</v>
      </c>
      <c r="Q48" s="139">
        <f t="shared" si="1"/>
        <v>2743.75</v>
      </c>
      <c r="R48" s="139">
        <v>25355</v>
      </c>
      <c r="S48" s="139">
        <f t="shared" si="2"/>
        <v>3634892.8000000003</v>
      </c>
      <c r="U48" s="139" t="s">
        <v>163</v>
      </c>
    </row>
    <row r="49" spans="1:21" ht="10.15" x14ac:dyDescent="0.2">
      <c r="A49" s="139" t="s">
        <v>695</v>
      </c>
      <c r="C49" s="139" t="s">
        <v>218</v>
      </c>
      <c r="D49" s="139">
        <v>12498</v>
      </c>
      <c r="E49" s="139">
        <v>12303</v>
      </c>
      <c r="F49" s="139">
        <v>18435</v>
      </c>
      <c r="G49" s="139">
        <v>20471</v>
      </c>
      <c r="H49" s="139">
        <v>23990</v>
      </c>
      <c r="I49" s="139">
        <v>25257</v>
      </c>
      <c r="J49" s="139">
        <v>8671</v>
      </c>
      <c r="K49" s="139">
        <v>10787</v>
      </c>
      <c r="L49" s="139">
        <v>14163</v>
      </c>
      <c r="M49" s="139">
        <v>16265</v>
      </c>
      <c r="N49" s="139">
        <v>8578000</v>
      </c>
      <c r="O49" s="139">
        <v>9659000</v>
      </c>
      <c r="P49" s="139">
        <f t="shared" si="0"/>
        <v>15875.25</v>
      </c>
      <c r="Q49" s="139">
        <f t="shared" si="1"/>
        <v>16922.5</v>
      </c>
      <c r="R49" s="139">
        <v>22796</v>
      </c>
      <c r="S49" s="139">
        <f t="shared" si="2"/>
        <v>3268034.5600000005</v>
      </c>
      <c r="U49" s="139" t="s">
        <v>218</v>
      </c>
    </row>
    <row r="50" spans="1:21" ht="10.15" x14ac:dyDescent="0.2">
      <c r="A50" s="139" t="s">
        <v>701</v>
      </c>
      <c r="C50" s="139" t="s">
        <v>421</v>
      </c>
      <c r="D50" s="139">
        <v>4464</v>
      </c>
      <c r="E50" s="139">
        <v>5561</v>
      </c>
      <c r="F50" s="139">
        <v>6007</v>
      </c>
      <c r="G50" s="139">
        <v>3825</v>
      </c>
      <c r="H50" s="139">
        <v>4184</v>
      </c>
      <c r="I50" s="139">
        <v>2224</v>
      </c>
      <c r="J50" s="139">
        <v>578</v>
      </c>
      <c r="K50" s="139">
        <v>532</v>
      </c>
      <c r="L50" s="139">
        <v>2187</v>
      </c>
      <c r="M50" s="139">
        <v>1406</v>
      </c>
      <c r="N50" s="139">
        <v>2583000</v>
      </c>
      <c r="O50" s="139">
        <v>1414000</v>
      </c>
      <c r="P50" s="139">
        <f t="shared" si="0"/>
        <v>4309.5</v>
      </c>
      <c r="Q50" s="139">
        <f t="shared" si="1"/>
        <v>3256</v>
      </c>
      <c r="R50" s="139">
        <v>22684</v>
      </c>
      <c r="S50" s="139">
        <f t="shared" si="2"/>
        <v>3251978.2400000002</v>
      </c>
      <c r="U50" s="139" t="s">
        <v>421</v>
      </c>
    </row>
    <row r="51" spans="1:21" ht="10.15" x14ac:dyDescent="0.2">
      <c r="A51" s="139" t="s">
        <v>690</v>
      </c>
      <c r="C51" s="139" t="s">
        <v>444</v>
      </c>
      <c r="D51" s="139">
        <v>2435</v>
      </c>
      <c r="E51" s="139">
        <v>3676</v>
      </c>
      <c r="F51" s="139">
        <v>30583</v>
      </c>
      <c r="G51" s="139">
        <v>32033</v>
      </c>
      <c r="H51" s="139">
        <v>1604</v>
      </c>
      <c r="I51" s="139">
        <v>2576</v>
      </c>
      <c r="J51" s="139">
        <v>18748</v>
      </c>
      <c r="K51" s="139">
        <v>20708</v>
      </c>
      <c r="L51" s="139">
        <v>2371</v>
      </c>
      <c r="M51" s="139">
        <v>2814</v>
      </c>
      <c r="N51" s="139">
        <v>1899000</v>
      </c>
      <c r="O51" s="139">
        <v>2224000</v>
      </c>
      <c r="P51" s="139">
        <f t="shared" si="0"/>
        <v>9130.25</v>
      </c>
      <c r="Q51" s="139">
        <f t="shared" si="1"/>
        <v>10127.25</v>
      </c>
      <c r="R51" s="139">
        <v>28719</v>
      </c>
      <c r="S51" s="139">
        <f t="shared" si="2"/>
        <v>4117155.8400000003</v>
      </c>
      <c r="U51" s="139" t="s">
        <v>444</v>
      </c>
    </row>
    <row r="52" spans="1:21" ht="10.15" x14ac:dyDescent="0.2">
      <c r="A52" s="139" t="s">
        <v>690</v>
      </c>
      <c r="C52" s="139" t="s">
        <v>445</v>
      </c>
      <c r="D52" s="139">
        <v>9425</v>
      </c>
      <c r="E52" s="139">
        <v>8748</v>
      </c>
      <c r="F52" s="139">
        <v>3683</v>
      </c>
      <c r="G52" s="139">
        <v>4033</v>
      </c>
      <c r="H52" s="139">
        <v>3697</v>
      </c>
      <c r="I52" s="139">
        <v>3765</v>
      </c>
      <c r="J52" s="139">
        <v>3658</v>
      </c>
      <c r="K52" s="139">
        <v>5556</v>
      </c>
      <c r="L52" s="139">
        <v>6446</v>
      </c>
      <c r="M52" s="139">
        <v>7816</v>
      </c>
      <c r="N52" s="139">
        <v>4584000</v>
      </c>
      <c r="O52" s="139">
        <v>4602000</v>
      </c>
      <c r="P52" s="139">
        <f t="shared" si="0"/>
        <v>5347.25</v>
      </c>
      <c r="Q52" s="139">
        <f t="shared" si="1"/>
        <v>5287</v>
      </c>
      <c r="R52" s="139">
        <v>30668</v>
      </c>
      <c r="S52" s="139">
        <f t="shared" si="2"/>
        <v>4396564.4800000004</v>
      </c>
      <c r="U52" s="139" t="s">
        <v>445</v>
      </c>
    </row>
    <row r="53" spans="1:21" ht="10.15" x14ac:dyDescent="0.2">
      <c r="A53" s="139" t="s">
        <v>690</v>
      </c>
      <c r="C53" s="139" t="s">
        <v>446</v>
      </c>
      <c r="D53" s="139">
        <v>48206</v>
      </c>
      <c r="E53" s="139">
        <v>70396</v>
      </c>
      <c r="F53" s="139">
        <v>43368</v>
      </c>
      <c r="G53" s="139">
        <v>59296</v>
      </c>
      <c r="H53" s="139">
        <v>17185</v>
      </c>
      <c r="I53" s="139">
        <v>27084</v>
      </c>
      <c r="J53" s="139">
        <v>71203</v>
      </c>
      <c r="K53" s="139">
        <v>76489</v>
      </c>
      <c r="L53" s="139">
        <v>47016</v>
      </c>
      <c r="M53" s="139">
        <v>54225</v>
      </c>
      <c r="N53" s="139">
        <v>27293000</v>
      </c>
      <c r="O53" s="139">
        <v>30566000</v>
      </c>
      <c r="P53" s="139">
        <f t="shared" si="0"/>
        <v>34013</v>
      </c>
      <c r="Q53" s="139">
        <f t="shared" si="1"/>
        <v>46835.5</v>
      </c>
      <c r="R53" s="139">
        <v>182777</v>
      </c>
      <c r="S53" s="139">
        <f t="shared" si="2"/>
        <v>26202910.720000003</v>
      </c>
      <c r="U53" s="139" t="s">
        <v>446</v>
      </c>
    </row>
    <row r="54" spans="1:21" ht="10.15" x14ac:dyDescent="0.2">
      <c r="A54" s="139" t="s">
        <v>694</v>
      </c>
      <c r="C54" s="139" t="s">
        <v>370</v>
      </c>
      <c r="D54" s="139">
        <v>10785</v>
      </c>
      <c r="E54" s="139">
        <v>15572</v>
      </c>
      <c r="F54" s="139">
        <v>11083</v>
      </c>
      <c r="G54" s="139">
        <v>16512</v>
      </c>
      <c r="H54" s="139">
        <v>11616</v>
      </c>
      <c r="I54" s="139">
        <v>25868</v>
      </c>
      <c r="J54" s="139">
        <v>12981</v>
      </c>
      <c r="K54" s="139">
        <v>14224</v>
      </c>
      <c r="L54" s="139">
        <v>9369</v>
      </c>
      <c r="M54" s="139">
        <v>18151</v>
      </c>
      <c r="N54" s="139">
        <v>11261000</v>
      </c>
      <c r="O54" s="139">
        <v>10481000</v>
      </c>
      <c r="P54" s="139">
        <f t="shared" si="0"/>
        <v>11186.25</v>
      </c>
      <c r="Q54" s="139">
        <f t="shared" si="1"/>
        <v>17108.25</v>
      </c>
      <c r="R54" s="139">
        <v>16837</v>
      </c>
      <c r="S54" s="139">
        <f t="shared" si="2"/>
        <v>2413752.3200000003</v>
      </c>
      <c r="U54" s="139" t="s">
        <v>370</v>
      </c>
    </row>
    <row r="55" spans="1:21" ht="10.15" x14ac:dyDescent="0.2">
      <c r="A55" s="139" t="s">
        <v>692</v>
      </c>
      <c r="C55" s="139" t="s">
        <v>247</v>
      </c>
      <c r="D55" s="139">
        <v>-84</v>
      </c>
      <c r="E55" s="139">
        <v>1004</v>
      </c>
      <c r="F55" s="139">
        <v>1208</v>
      </c>
      <c r="G55" s="139">
        <v>4501</v>
      </c>
      <c r="H55" s="139">
        <v>171</v>
      </c>
      <c r="I55" s="139">
        <v>3011</v>
      </c>
      <c r="J55" s="139">
        <v>5142</v>
      </c>
      <c r="K55" s="139">
        <v>7810</v>
      </c>
      <c r="L55" s="139">
        <v>56</v>
      </c>
      <c r="M55" s="139">
        <v>814</v>
      </c>
      <c r="N55" s="139">
        <v>136000</v>
      </c>
      <c r="O55" s="139">
        <v>439000</v>
      </c>
      <c r="P55" s="139">
        <f t="shared" si="0"/>
        <v>357.75</v>
      </c>
      <c r="Q55" s="139">
        <f t="shared" si="1"/>
        <v>2238.75</v>
      </c>
      <c r="R55" s="139">
        <v>36418</v>
      </c>
      <c r="S55" s="139">
        <f t="shared" si="2"/>
        <v>5220884.4800000004</v>
      </c>
      <c r="U55" s="139" t="s">
        <v>247</v>
      </c>
    </row>
    <row r="56" spans="1:21" ht="10.15" x14ac:dyDescent="0.2">
      <c r="A56" s="139" t="s">
        <v>692</v>
      </c>
      <c r="C56" s="139" t="s">
        <v>248</v>
      </c>
      <c r="D56" s="139">
        <v>8069</v>
      </c>
      <c r="E56" s="139">
        <v>10448</v>
      </c>
      <c r="F56" s="139">
        <v>9394</v>
      </c>
      <c r="G56" s="139">
        <v>24872</v>
      </c>
      <c r="H56" s="139">
        <v>10295</v>
      </c>
      <c r="I56" s="139">
        <v>10327</v>
      </c>
      <c r="J56" s="139">
        <v>1531</v>
      </c>
      <c r="K56" s="139">
        <v>1443</v>
      </c>
      <c r="L56" s="139">
        <v>2756</v>
      </c>
      <c r="M56" s="139">
        <v>2625</v>
      </c>
      <c r="N56" s="139">
        <v>2293000</v>
      </c>
      <c r="O56" s="139">
        <v>198000</v>
      </c>
      <c r="P56" s="139">
        <f t="shared" si="0"/>
        <v>7512.75</v>
      </c>
      <c r="Q56" s="139">
        <f t="shared" si="1"/>
        <v>11461.25</v>
      </c>
      <c r="R56" s="139">
        <v>20840</v>
      </c>
      <c r="S56" s="139">
        <f t="shared" si="2"/>
        <v>2987622.4000000004</v>
      </c>
      <c r="U56" s="139" t="s">
        <v>248</v>
      </c>
    </row>
    <row r="57" spans="1:21" ht="10.15" x14ac:dyDescent="0.2">
      <c r="A57" s="139" t="s">
        <v>699</v>
      </c>
      <c r="C57" s="139" t="s">
        <v>499</v>
      </c>
      <c r="D57" s="139">
        <v>225</v>
      </c>
      <c r="E57" s="139">
        <v>902</v>
      </c>
      <c r="F57" s="139">
        <v>3809</v>
      </c>
      <c r="G57" s="139">
        <v>4401</v>
      </c>
      <c r="H57" s="139">
        <v>9093</v>
      </c>
      <c r="I57" s="139">
        <v>10690</v>
      </c>
      <c r="J57" s="139">
        <v>4307</v>
      </c>
      <c r="K57" s="139">
        <v>5011</v>
      </c>
      <c r="L57" s="139">
        <v>7871</v>
      </c>
      <c r="M57" s="139">
        <v>8286</v>
      </c>
      <c r="N57" s="139">
        <v>2962000</v>
      </c>
      <c r="O57" s="139">
        <v>3218000</v>
      </c>
      <c r="P57" s="139">
        <f t="shared" si="0"/>
        <v>4022.25</v>
      </c>
      <c r="Q57" s="139">
        <f t="shared" si="1"/>
        <v>4802.75</v>
      </c>
      <c r="R57" s="139">
        <v>28373</v>
      </c>
      <c r="S57" s="139">
        <f t="shared" si="2"/>
        <v>4067553.2800000003</v>
      </c>
      <c r="U57" s="139" t="s">
        <v>499</v>
      </c>
    </row>
    <row r="58" spans="1:21" ht="10.15" x14ac:dyDescent="0.2">
      <c r="A58" s="139" t="s">
        <v>697</v>
      </c>
      <c r="C58" s="139" t="s">
        <v>296</v>
      </c>
      <c r="D58" s="139">
        <v>10809</v>
      </c>
      <c r="E58" s="139">
        <v>10830</v>
      </c>
      <c r="F58" s="139">
        <v>7596</v>
      </c>
      <c r="G58" s="139">
        <v>9452</v>
      </c>
      <c r="H58" s="139">
        <v>6255</v>
      </c>
      <c r="I58" s="139">
        <v>9070</v>
      </c>
      <c r="J58" s="139">
        <v>8307</v>
      </c>
      <c r="K58" s="139">
        <v>10752</v>
      </c>
      <c r="L58" s="139">
        <v>6734</v>
      </c>
      <c r="M58" s="139">
        <v>6536</v>
      </c>
      <c r="N58" s="139">
        <v>4020000</v>
      </c>
      <c r="O58" s="139">
        <v>2385000</v>
      </c>
      <c r="P58" s="139">
        <f t="shared" si="0"/>
        <v>7170</v>
      </c>
      <c r="Q58" s="139">
        <f t="shared" si="1"/>
        <v>7934.25</v>
      </c>
      <c r="R58" s="139">
        <v>15156</v>
      </c>
      <c r="S58" s="139">
        <f t="shared" si="2"/>
        <v>2172764.1600000001</v>
      </c>
      <c r="U58" s="139" t="s">
        <v>296</v>
      </c>
    </row>
    <row r="59" spans="1:21" ht="10.15" x14ac:dyDescent="0.2">
      <c r="A59" s="139" t="s">
        <v>697</v>
      </c>
      <c r="C59" s="139" t="s">
        <v>297</v>
      </c>
      <c r="D59" s="139">
        <v>9932</v>
      </c>
      <c r="E59" s="139">
        <v>9719</v>
      </c>
      <c r="F59" s="139">
        <v>6014</v>
      </c>
      <c r="G59" s="139">
        <v>4679</v>
      </c>
      <c r="H59" s="139">
        <v>7609</v>
      </c>
      <c r="I59" s="139">
        <v>10405</v>
      </c>
      <c r="J59" s="139">
        <v>7208</v>
      </c>
      <c r="K59" s="139">
        <v>10554</v>
      </c>
      <c r="L59" s="139">
        <v>7646</v>
      </c>
      <c r="M59" s="139">
        <v>8111</v>
      </c>
      <c r="N59" s="139">
        <v>6989000</v>
      </c>
      <c r="O59" s="139">
        <v>5303000</v>
      </c>
      <c r="P59" s="139">
        <f t="shared" si="0"/>
        <v>7636</v>
      </c>
      <c r="Q59" s="139">
        <f t="shared" si="1"/>
        <v>7526.5</v>
      </c>
      <c r="R59" s="139">
        <v>21022</v>
      </c>
      <c r="S59" s="139">
        <f t="shared" si="2"/>
        <v>3013713.9200000004</v>
      </c>
      <c r="U59" s="139" t="s">
        <v>297</v>
      </c>
    </row>
    <row r="60" spans="1:21" ht="10.15" x14ac:dyDescent="0.2">
      <c r="A60" s="139" t="s">
        <v>692</v>
      </c>
      <c r="C60" s="139" t="s">
        <v>249</v>
      </c>
      <c r="D60" s="139">
        <v>7484</v>
      </c>
      <c r="E60" s="139">
        <v>7544</v>
      </c>
      <c r="F60" s="139">
        <v>20985</v>
      </c>
      <c r="G60" s="139">
        <v>23036</v>
      </c>
      <c r="H60" s="139">
        <v>9789</v>
      </c>
      <c r="I60" s="139">
        <v>11869</v>
      </c>
      <c r="J60" s="139">
        <v>6430</v>
      </c>
      <c r="K60" s="139">
        <v>7739</v>
      </c>
      <c r="L60" s="139">
        <v>4453</v>
      </c>
      <c r="M60" s="139">
        <v>8526</v>
      </c>
      <c r="N60" s="139">
        <v>10551000</v>
      </c>
      <c r="O60" s="139">
        <v>9867000</v>
      </c>
      <c r="P60" s="139">
        <f t="shared" si="0"/>
        <v>12202.25</v>
      </c>
      <c r="Q60" s="139">
        <f t="shared" si="1"/>
        <v>13079</v>
      </c>
      <c r="R60" s="139">
        <v>26348</v>
      </c>
      <c r="S60" s="139">
        <f t="shared" si="2"/>
        <v>3777249.2800000003</v>
      </c>
      <c r="U60" s="139" t="s">
        <v>249</v>
      </c>
    </row>
    <row r="61" spans="1:21" ht="10.15" x14ac:dyDescent="0.2">
      <c r="A61" s="139" t="s">
        <v>694</v>
      </c>
      <c r="C61" s="139" t="s">
        <v>371</v>
      </c>
      <c r="D61" s="139">
        <v>6022</v>
      </c>
      <c r="E61" s="139">
        <v>5948</v>
      </c>
      <c r="F61" s="139">
        <v>12196</v>
      </c>
      <c r="G61" s="139">
        <v>9724</v>
      </c>
      <c r="H61" s="139">
        <v>2971</v>
      </c>
      <c r="I61" s="139">
        <v>3132</v>
      </c>
      <c r="J61" s="139">
        <v>2028</v>
      </c>
      <c r="K61" s="139">
        <v>2186</v>
      </c>
      <c r="L61" s="139">
        <v>1210</v>
      </c>
      <c r="M61" s="139">
        <v>553</v>
      </c>
      <c r="N61" s="139">
        <v>-230000</v>
      </c>
      <c r="O61" s="139">
        <v>447000</v>
      </c>
      <c r="P61" s="139">
        <f t="shared" si="0"/>
        <v>5239.75</v>
      </c>
      <c r="Q61" s="139">
        <f t="shared" si="1"/>
        <v>4812.75</v>
      </c>
      <c r="R61" s="139">
        <v>66445</v>
      </c>
      <c r="S61" s="139">
        <f t="shared" si="2"/>
        <v>9525555.2000000011</v>
      </c>
      <c r="U61" s="139" t="s">
        <v>371</v>
      </c>
    </row>
    <row r="62" spans="1:21" ht="10.15" x14ac:dyDescent="0.2">
      <c r="A62" s="139" t="s">
        <v>691</v>
      </c>
      <c r="C62" s="139" t="s">
        <v>327</v>
      </c>
      <c r="D62" s="139">
        <v>5357</v>
      </c>
      <c r="E62" s="139">
        <v>5231</v>
      </c>
      <c r="F62" s="139">
        <v>1993</v>
      </c>
      <c r="G62" s="139">
        <v>1490</v>
      </c>
      <c r="H62" s="139">
        <v>4779</v>
      </c>
      <c r="I62" s="139">
        <v>4550</v>
      </c>
      <c r="J62" s="139">
        <v>1615</v>
      </c>
      <c r="K62" s="139">
        <v>2045</v>
      </c>
      <c r="L62" s="139">
        <v>1699</v>
      </c>
      <c r="M62" s="139">
        <v>3103</v>
      </c>
      <c r="N62" s="139">
        <v>2316000</v>
      </c>
      <c r="O62" s="139">
        <v>2152000</v>
      </c>
      <c r="P62" s="139">
        <f t="shared" si="0"/>
        <v>3611.25</v>
      </c>
      <c r="Q62" s="139">
        <f t="shared" si="1"/>
        <v>3355.75</v>
      </c>
      <c r="R62" s="139">
        <v>35230</v>
      </c>
      <c r="S62" s="139">
        <f t="shared" si="2"/>
        <v>5050572.8000000007</v>
      </c>
      <c r="U62" s="139" t="s">
        <v>327</v>
      </c>
    </row>
    <row r="63" spans="1:21" x14ac:dyDescent="0.2">
      <c r="A63" s="139" t="s">
        <v>689</v>
      </c>
      <c r="C63" s="139" t="s">
        <v>164</v>
      </c>
      <c r="D63" s="139">
        <v>14586</v>
      </c>
      <c r="E63" s="139">
        <v>19096</v>
      </c>
      <c r="F63" s="139">
        <v>5862</v>
      </c>
      <c r="G63" s="139">
        <v>13998</v>
      </c>
      <c r="H63" s="139">
        <v>8817</v>
      </c>
      <c r="I63" s="139">
        <v>10680</v>
      </c>
      <c r="J63" s="139">
        <v>6881</v>
      </c>
      <c r="K63" s="139">
        <v>11314</v>
      </c>
      <c r="L63" s="139">
        <v>10829</v>
      </c>
      <c r="M63" s="139">
        <v>13525</v>
      </c>
      <c r="N63" s="139">
        <v>8159000</v>
      </c>
      <c r="O63" s="139">
        <v>12249000</v>
      </c>
      <c r="P63" s="139">
        <f t="shared" si="0"/>
        <v>9356</v>
      </c>
      <c r="Q63" s="139">
        <f t="shared" si="1"/>
        <v>14005.75</v>
      </c>
      <c r="R63" s="139">
        <v>35268</v>
      </c>
      <c r="S63" s="139">
        <f t="shared" si="2"/>
        <v>5056020.4800000004</v>
      </c>
      <c r="U63" s="139" t="s">
        <v>164</v>
      </c>
    </row>
    <row r="64" spans="1:21" x14ac:dyDescent="0.2">
      <c r="A64" s="139" t="s">
        <v>690</v>
      </c>
      <c r="C64" s="139" t="s">
        <v>447</v>
      </c>
      <c r="D64" s="139">
        <v>1925</v>
      </c>
      <c r="E64" s="139">
        <v>1925</v>
      </c>
      <c r="F64" s="139">
        <v>2355</v>
      </c>
      <c r="G64" s="139">
        <v>2355</v>
      </c>
      <c r="H64" s="139">
        <v>2219</v>
      </c>
      <c r="I64" s="139">
        <v>1935</v>
      </c>
      <c r="J64" s="139">
        <v>3709</v>
      </c>
      <c r="K64" s="139">
        <v>3450</v>
      </c>
      <c r="L64" s="139">
        <v>3013</v>
      </c>
      <c r="M64" s="139">
        <v>3013</v>
      </c>
      <c r="N64" s="139">
        <v>0</v>
      </c>
      <c r="O64" s="139">
        <v>0</v>
      </c>
      <c r="P64" s="139">
        <f t="shared" si="0"/>
        <v>1624.75</v>
      </c>
      <c r="Q64" s="139">
        <f t="shared" si="1"/>
        <v>1553.75</v>
      </c>
      <c r="R64" s="139">
        <v>20686</v>
      </c>
      <c r="S64" s="139">
        <f t="shared" si="2"/>
        <v>2965544.9600000004</v>
      </c>
      <c r="U64" s="139" t="s">
        <v>447</v>
      </c>
    </row>
    <row r="65" spans="1:21" x14ac:dyDescent="0.2">
      <c r="A65" s="139" t="s">
        <v>694</v>
      </c>
      <c r="C65" s="139" t="s">
        <v>372</v>
      </c>
      <c r="D65" s="139">
        <v>1016</v>
      </c>
      <c r="E65" s="139">
        <v>1182</v>
      </c>
      <c r="F65" s="139">
        <v>1521</v>
      </c>
      <c r="G65" s="139">
        <v>1973</v>
      </c>
      <c r="H65" s="139">
        <v>673</v>
      </c>
      <c r="I65" s="139">
        <v>770</v>
      </c>
      <c r="J65" s="139">
        <v>2188</v>
      </c>
      <c r="K65" s="139">
        <v>1513</v>
      </c>
      <c r="L65" s="139">
        <v>113</v>
      </c>
      <c r="M65" s="139">
        <v>164</v>
      </c>
      <c r="N65" s="139">
        <v>391000</v>
      </c>
      <c r="O65" s="139">
        <v>306000</v>
      </c>
      <c r="P65" s="139">
        <f t="shared" si="0"/>
        <v>900.25</v>
      </c>
      <c r="Q65" s="139">
        <f t="shared" si="1"/>
        <v>1057.75</v>
      </c>
      <c r="R65" s="139">
        <v>12797</v>
      </c>
      <c r="S65" s="139">
        <f t="shared" si="2"/>
        <v>1834577.9200000002</v>
      </c>
      <c r="U65" s="139" t="s">
        <v>372</v>
      </c>
    </row>
    <row r="66" spans="1:21" x14ac:dyDescent="0.2">
      <c r="A66" s="139" t="s">
        <v>690</v>
      </c>
      <c r="C66" s="139" t="s">
        <v>448</v>
      </c>
      <c r="D66" s="139">
        <v>12910</v>
      </c>
      <c r="E66" s="139">
        <v>17759</v>
      </c>
      <c r="F66" s="139">
        <v>36143</v>
      </c>
      <c r="G66" s="139">
        <v>26834</v>
      </c>
      <c r="H66" s="139">
        <v>12246</v>
      </c>
      <c r="I66" s="139">
        <v>10886</v>
      </c>
      <c r="J66" s="139">
        <v>13378</v>
      </c>
      <c r="K66" s="139">
        <v>13117</v>
      </c>
      <c r="L66" s="139">
        <v>9307</v>
      </c>
      <c r="M66" s="139">
        <v>8601</v>
      </c>
      <c r="N66" s="139">
        <v>258000</v>
      </c>
      <c r="O66" s="139">
        <v>764000</v>
      </c>
      <c r="P66" s="139">
        <f t="shared" si="0"/>
        <v>15389.25</v>
      </c>
      <c r="Q66" s="139">
        <f t="shared" si="1"/>
        <v>14060.75</v>
      </c>
      <c r="R66" s="139">
        <v>24703</v>
      </c>
      <c r="S66" s="139">
        <f t="shared" si="2"/>
        <v>3541422.0800000005</v>
      </c>
      <c r="U66" s="139" t="s">
        <v>448</v>
      </c>
    </row>
    <row r="67" spans="1:21" x14ac:dyDescent="0.2">
      <c r="A67" s="139" t="s">
        <v>692</v>
      </c>
      <c r="C67" s="139" t="s">
        <v>250</v>
      </c>
      <c r="D67" s="139">
        <v>15937</v>
      </c>
      <c r="E67" s="139">
        <v>15069</v>
      </c>
      <c r="F67" s="139">
        <v>10633</v>
      </c>
      <c r="G67" s="139">
        <v>10990</v>
      </c>
      <c r="H67" s="139">
        <v>10662</v>
      </c>
      <c r="I67" s="139">
        <v>10283</v>
      </c>
      <c r="J67" s="139">
        <v>3751</v>
      </c>
      <c r="K67" s="139">
        <v>4910</v>
      </c>
      <c r="L67" s="139">
        <v>4395</v>
      </c>
      <c r="M67" s="139">
        <v>5033</v>
      </c>
      <c r="N67" s="139">
        <v>8311000</v>
      </c>
      <c r="O67" s="139">
        <v>8028000</v>
      </c>
      <c r="P67" s="139">
        <f t="shared" ref="P67:P130" si="3">SUM(D67,F67,H67,N67/1000)/4</f>
        <v>11385.75</v>
      </c>
      <c r="Q67" s="139">
        <f t="shared" ref="Q67:Q130" si="4">SUM(E67,G67,I67,O67/1000)/4</f>
        <v>11092.5</v>
      </c>
      <c r="R67" s="139">
        <v>27865</v>
      </c>
      <c r="S67" s="139">
        <f t="shared" ref="S67:S130" si="5">R67*143.36</f>
        <v>3994726.4000000004</v>
      </c>
      <c r="U67" s="139" t="s">
        <v>250</v>
      </c>
    </row>
    <row r="68" spans="1:21" x14ac:dyDescent="0.2">
      <c r="A68" s="139" t="s">
        <v>695</v>
      </c>
      <c r="C68" s="139" t="s">
        <v>219</v>
      </c>
      <c r="D68" s="139">
        <v>5923</v>
      </c>
      <c r="E68" s="139">
        <v>5348</v>
      </c>
      <c r="F68" s="139">
        <v>2108</v>
      </c>
      <c r="G68" s="139">
        <v>5047</v>
      </c>
      <c r="H68" s="139">
        <v>1188</v>
      </c>
      <c r="I68" s="139">
        <v>2852</v>
      </c>
      <c r="J68" s="139">
        <v>1443</v>
      </c>
      <c r="K68" s="139">
        <v>4157</v>
      </c>
      <c r="L68" s="139">
        <v>750</v>
      </c>
      <c r="M68" s="139">
        <v>1990</v>
      </c>
      <c r="N68" s="139">
        <v>7163000</v>
      </c>
      <c r="O68" s="139">
        <v>5813000</v>
      </c>
      <c r="P68" s="139">
        <f t="shared" si="3"/>
        <v>4095.5</v>
      </c>
      <c r="Q68" s="139">
        <f t="shared" si="4"/>
        <v>4765</v>
      </c>
      <c r="R68" s="139">
        <v>28070</v>
      </c>
      <c r="S68" s="139">
        <f t="shared" si="5"/>
        <v>4024115.2000000002</v>
      </c>
      <c r="U68" s="139" t="s">
        <v>219</v>
      </c>
    </row>
    <row r="69" spans="1:21" x14ac:dyDescent="0.2">
      <c r="A69" s="139" t="s">
        <v>693</v>
      </c>
      <c r="C69" s="139" t="s">
        <v>199</v>
      </c>
      <c r="D69" s="139">
        <v>2080</v>
      </c>
      <c r="E69" s="139">
        <v>2280</v>
      </c>
      <c r="F69" s="139">
        <v>2422</v>
      </c>
      <c r="G69" s="139">
        <v>1811</v>
      </c>
      <c r="H69" s="139">
        <v>2870</v>
      </c>
      <c r="I69" s="139">
        <v>3459</v>
      </c>
      <c r="J69" s="139">
        <v>1299</v>
      </c>
      <c r="K69" s="139">
        <v>407</v>
      </c>
      <c r="L69" s="139">
        <v>1072</v>
      </c>
      <c r="M69" s="139">
        <v>1117</v>
      </c>
      <c r="N69" s="139">
        <v>2874000</v>
      </c>
      <c r="O69" s="139">
        <v>2839000</v>
      </c>
      <c r="P69" s="139">
        <f t="shared" si="3"/>
        <v>2561.5</v>
      </c>
      <c r="Q69" s="139">
        <f t="shared" si="4"/>
        <v>2597.25</v>
      </c>
      <c r="R69" s="139">
        <v>18943</v>
      </c>
      <c r="S69" s="139">
        <f t="shared" si="5"/>
        <v>2715668.4800000004</v>
      </c>
      <c r="U69" s="139" t="s">
        <v>199</v>
      </c>
    </row>
    <row r="70" spans="1:21" x14ac:dyDescent="0.2">
      <c r="A70" s="139" t="s">
        <v>697</v>
      </c>
      <c r="C70" s="139" t="s">
        <v>298</v>
      </c>
      <c r="D70" s="139">
        <v>10577</v>
      </c>
      <c r="E70" s="139">
        <v>11083</v>
      </c>
      <c r="F70" s="139">
        <v>7422</v>
      </c>
      <c r="G70" s="139">
        <v>6407</v>
      </c>
      <c r="H70" s="139">
        <v>9235</v>
      </c>
      <c r="I70" s="139">
        <v>15488</v>
      </c>
      <c r="J70" s="139">
        <v>20115</v>
      </c>
      <c r="K70" s="139">
        <v>20178</v>
      </c>
      <c r="L70" s="139">
        <v>7694</v>
      </c>
      <c r="M70" s="139">
        <v>11261</v>
      </c>
      <c r="N70" s="139">
        <v>6980000</v>
      </c>
      <c r="O70" s="139">
        <v>7593000</v>
      </c>
      <c r="P70" s="139">
        <f t="shared" si="3"/>
        <v>8553.5</v>
      </c>
      <c r="Q70" s="139">
        <f t="shared" si="4"/>
        <v>10142.75</v>
      </c>
      <c r="R70" s="139">
        <v>42759</v>
      </c>
      <c r="S70" s="139">
        <f t="shared" si="5"/>
        <v>6129930.2400000002</v>
      </c>
      <c r="U70" s="139" t="s">
        <v>298</v>
      </c>
    </row>
    <row r="71" spans="1:21" x14ac:dyDescent="0.2">
      <c r="A71" s="139" t="s">
        <v>693</v>
      </c>
      <c r="C71" s="139" t="s">
        <v>702</v>
      </c>
      <c r="D71" s="139">
        <v>10403.304661535018</v>
      </c>
      <c r="E71" s="139">
        <v>10949.048302939505</v>
      </c>
      <c r="F71" s="139">
        <v>14867.346570397112</v>
      </c>
      <c r="G71" s="139">
        <v>15752.495306859206</v>
      </c>
      <c r="H71" s="139">
        <v>12264.0948942754</v>
      </c>
      <c r="I71" s="139">
        <v>14419.421454357916</v>
      </c>
      <c r="J71" s="139">
        <v>82</v>
      </c>
      <c r="K71" s="139">
        <v>55</v>
      </c>
      <c r="L71" s="139">
        <v>3513</v>
      </c>
      <c r="M71" s="139">
        <v>4557</v>
      </c>
      <c r="N71" s="139">
        <v>9740000</v>
      </c>
      <c r="O71" s="139">
        <v>8657000</v>
      </c>
      <c r="P71" s="139">
        <f t="shared" si="3"/>
        <v>11818.686531551883</v>
      </c>
      <c r="Q71" s="139">
        <f t="shared" si="4"/>
        <v>12444.491266039156</v>
      </c>
      <c r="R71" s="139">
        <v>51589</v>
      </c>
      <c r="S71" s="139">
        <f t="shared" si="5"/>
        <v>7395799.040000001</v>
      </c>
      <c r="U71" s="139" t="s">
        <v>702</v>
      </c>
    </row>
    <row r="72" spans="1:21" x14ac:dyDescent="0.2">
      <c r="A72" s="139" t="s">
        <v>698</v>
      </c>
      <c r="C72" s="139" t="s">
        <v>177</v>
      </c>
      <c r="D72" s="139">
        <v>2396</v>
      </c>
      <c r="E72" s="139">
        <v>3242</v>
      </c>
      <c r="F72" s="139">
        <v>875</v>
      </c>
      <c r="G72" s="139">
        <v>3407</v>
      </c>
      <c r="H72" s="139">
        <v>965</v>
      </c>
      <c r="I72" s="139">
        <v>1454</v>
      </c>
      <c r="J72" s="139">
        <v>773</v>
      </c>
      <c r="K72" s="139">
        <v>1138</v>
      </c>
      <c r="L72" s="139">
        <v>685</v>
      </c>
      <c r="M72" s="139">
        <v>824</v>
      </c>
      <c r="N72" s="139">
        <v>326000</v>
      </c>
      <c r="O72" s="139">
        <v>986000</v>
      </c>
      <c r="P72" s="139">
        <f t="shared" si="3"/>
        <v>1140.5</v>
      </c>
      <c r="Q72" s="139">
        <f t="shared" si="4"/>
        <v>2272.25</v>
      </c>
      <c r="R72" s="139">
        <v>10083</v>
      </c>
      <c r="S72" s="139">
        <f t="shared" si="5"/>
        <v>1445498.8800000001</v>
      </c>
      <c r="U72" s="139" t="s">
        <v>177</v>
      </c>
    </row>
    <row r="73" spans="1:21" x14ac:dyDescent="0.2">
      <c r="A73" s="139" t="s">
        <v>697</v>
      </c>
      <c r="C73" s="139" t="s">
        <v>299</v>
      </c>
      <c r="D73" s="139">
        <v>5824</v>
      </c>
      <c r="E73" s="139">
        <v>7095</v>
      </c>
      <c r="F73" s="139">
        <v>5413</v>
      </c>
      <c r="G73" s="139">
        <v>13828</v>
      </c>
      <c r="H73" s="139">
        <v>5095</v>
      </c>
      <c r="I73" s="139">
        <v>7004</v>
      </c>
      <c r="J73" s="139">
        <v>5047</v>
      </c>
      <c r="K73" s="139">
        <v>5373</v>
      </c>
      <c r="L73" s="139">
        <v>8734</v>
      </c>
      <c r="M73" s="139">
        <v>8091</v>
      </c>
      <c r="N73" s="139">
        <v>18511000</v>
      </c>
      <c r="O73" s="139">
        <v>16287000</v>
      </c>
      <c r="P73" s="139">
        <f t="shared" si="3"/>
        <v>8710.75</v>
      </c>
      <c r="Q73" s="139">
        <f t="shared" si="4"/>
        <v>11053.5</v>
      </c>
      <c r="R73" s="139">
        <v>42759</v>
      </c>
      <c r="S73" s="139">
        <f t="shared" si="5"/>
        <v>6129930.2400000002</v>
      </c>
      <c r="U73" s="139" t="s">
        <v>299</v>
      </c>
    </row>
    <row r="74" spans="1:21" x14ac:dyDescent="0.2">
      <c r="A74" s="139" t="s">
        <v>689</v>
      </c>
      <c r="C74" s="139" t="s">
        <v>172</v>
      </c>
      <c r="D74" s="139">
        <v>1874</v>
      </c>
      <c r="E74" s="139">
        <v>2228</v>
      </c>
      <c r="F74" s="139">
        <v>1916</v>
      </c>
      <c r="G74" s="139">
        <v>3080</v>
      </c>
      <c r="H74" s="139">
        <v>1183</v>
      </c>
      <c r="I74" s="139">
        <v>1927</v>
      </c>
      <c r="J74" s="139">
        <v>2324</v>
      </c>
      <c r="K74" s="139">
        <v>2645</v>
      </c>
      <c r="L74" s="139">
        <v>2111</v>
      </c>
      <c r="M74" s="139">
        <v>2040</v>
      </c>
      <c r="N74" s="139">
        <v>2912000</v>
      </c>
      <c r="O74" s="139">
        <v>2675000</v>
      </c>
      <c r="P74" s="139">
        <f t="shared" si="3"/>
        <v>1971.25</v>
      </c>
      <c r="Q74" s="139">
        <f t="shared" si="4"/>
        <v>2477.5</v>
      </c>
      <c r="R74" s="139">
        <v>23745</v>
      </c>
      <c r="S74" s="139">
        <f t="shared" si="5"/>
        <v>3404083.2000000002</v>
      </c>
      <c r="U74" s="139" t="s">
        <v>172</v>
      </c>
    </row>
    <row r="75" spans="1:21" x14ac:dyDescent="0.2">
      <c r="A75" s="139" t="s">
        <v>694</v>
      </c>
      <c r="C75" s="139" t="s">
        <v>373</v>
      </c>
      <c r="D75" s="139">
        <v>61624</v>
      </c>
      <c r="E75" s="139">
        <v>60300</v>
      </c>
      <c r="F75" s="139">
        <v>87897</v>
      </c>
      <c r="G75" s="139">
        <v>89073</v>
      </c>
      <c r="H75" s="139">
        <v>56724</v>
      </c>
      <c r="I75" s="139">
        <v>66677</v>
      </c>
      <c r="J75" s="139">
        <v>38877</v>
      </c>
      <c r="K75" s="139">
        <v>65198</v>
      </c>
      <c r="L75" s="139">
        <v>67419</v>
      </c>
      <c r="M75" s="139">
        <v>81446</v>
      </c>
      <c r="N75" s="139">
        <v>27633000</v>
      </c>
      <c r="O75" s="139">
        <v>29299000</v>
      </c>
      <c r="P75" s="139">
        <f t="shared" si="3"/>
        <v>58469.5</v>
      </c>
      <c r="Q75" s="139">
        <f t="shared" si="4"/>
        <v>61337.25</v>
      </c>
      <c r="R75" s="139">
        <v>101361</v>
      </c>
      <c r="S75" s="139">
        <f t="shared" si="5"/>
        <v>14531112.960000001</v>
      </c>
      <c r="U75" s="139" t="s">
        <v>373</v>
      </c>
    </row>
    <row r="76" spans="1:21" x14ac:dyDescent="0.2">
      <c r="A76" s="139" t="s">
        <v>698</v>
      </c>
      <c r="C76" s="139" t="s">
        <v>178</v>
      </c>
      <c r="D76" s="139">
        <v>13122</v>
      </c>
      <c r="E76" s="139">
        <v>13122</v>
      </c>
      <c r="F76" s="139">
        <v>7806</v>
      </c>
      <c r="G76" s="139">
        <v>7989</v>
      </c>
      <c r="H76" s="139">
        <v>3612</v>
      </c>
      <c r="I76" s="139">
        <v>3610</v>
      </c>
      <c r="J76" s="139">
        <v>1633</v>
      </c>
      <c r="K76" s="139">
        <v>1641</v>
      </c>
      <c r="L76" s="139">
        <v>550</v>
      </c>
      <c r="M76" s="139">
        <v>513</v>
      </c>
      <c r="N76" s="139">
        <v>448000</v>
      </c>
      <c r="O76" s="139">
        <v>488000</v>
      </c>
      <c r="P76" s="139">
        <f t="shared" si="3"/>
        <v>6247</v>
      </c>
      <c r="Q76" s="139">
        <f t="shared" si="4"/>
        <v>6302.25</v>
      </c>
      <c r="R76" s="139">
        <v>24961</v>
      </c>
      <c r="S76" s="139">
        <f t="shared" si="5"/>
        <v>3578408.9600000004</v>
      </c>
      <c r="U76" s="139" t="s">
        <v>178</v>
      </c>
    </row>
    <row r="77" spans="1:21" x14ac:dyDescent="0.2">
      <c r="A77" s="139" t="s">
        <v>691</v>
      </c>
      <c r="C77" s="139" t="s">
        <v>328</v>
      </c>
      <c r="D77" s="139">
        <v>11671</v>
      </c>
      <c r="E77" s="139">
        <v>13061</v>
      </c>
      <c r="F77" s="139">
        <v>9242</v>
      </c>
      <c r="G77" s="139">
        <v>11339</v>
      </c>
      <c r="H77" s="139">
        <v>4205</v>
      </c>
      <c r="I77" s="139">
        <v>6937</v>
      </c>
      <c r="J77" s="139">
        <v>14099</v>
      </c>
      <c r="K77" s="139">
        <v>14400</v>
      </c>
      <c r="L77" s="139">
        <v>6651</v>
      </c>
      <c r="M77" s="139">
        <v>17468</v>
      </c>
      <c r="N77" s="139">
        <v>8771000</v>
      </c>
      <c r="O77" s="139">
        <v>9233000</v>
      </c>
      <c r="P77" s="139">
        <f t="shared" si="3"/>
        <v>8472.25</v>
      </c>
      <c r="Q77" s="139">
        <f t="shared" si="4"/>
        <v>10142.5</v>
      </c>
      <c r="R77" s="139">
        <v>56030</v>
      </c>
      <c r="S77" s="139">
        <f t="shared" si="5"/>
        <v>8032460.8000000007</v>
      </c>
      <c r="U77" s="139" t="s">
        <v>328</v>
      </c>
    </row>
    <row r="78" spans="1:21" x14ac:dyDescent="0.2">
      <c r="A78" s="139" t="s">
        <v>690</v>
      </c>
      <c r="C78" s="139" t="s">
        <v>449</v>
      </c>
      <c r="D78" s="139">
        <v>35087</v>
      </c>
      <c r="E78" s="139">
        <v>36866</v>
      </c>
      <c r="F78" s="139">
        <v>17562</v>
      </c>
      <c r="G78" s="139">
        <v>33434</v>
      </c>
      <c r="H78" s="139">
        <v>20962</v>
      </c>
      <c r="I78" s="139">
        <v>21907</v>
      </c>
      <c r="J78" s="139">
        <v>15803</v>
      </c>
      <c r="K78" s="139">
        <v>16609</v>
      </c>
      <c r="L78" s="139">
        <v>10217</v>
      </c>
      <c r="M78" s="139">
        <v>13273</v>
      </c>
      <c r="N78" s="139">
        <v>21343000</v>
      </c>
      <c r="O78" s="139">
        <v>23879000</v>
      </c>
      <c r="P78" s="139">
        <f t="shared" si="3"/>
        <v>23738.5</v>
      </c>
      <c r="Q78" s="139">
        <f t="shared" si="4"/>
        <v>29021.5</v>
      </c>
      <c r="R78" s="139">
        <v>31928</v>
      </c>
      <c r="S78" s="139">
        <f t="shared" si="5"/>
        <v>4577198.0800000001</v>
      </c>
      <c r="U78" s="139" t="s">
        <v>449</v>
      </c>
    </row>
    <row r="79" spans="1:21" x14ac:dyDescent="0.2">
      <c r="A79" s="139" t="s">
        <v>695</v>
      </c>
      <c r="C79" s="139" t="s">
        <v>220</v>
      </c>
      <c r="D79" s="139">
        <v>19411</v>
      </c>
      <c r="E79" s="139">
        <v>35684</v>
      </c>
      <c r="F79" s="139">
        <v>19330</v>
      </c>
      <c r="G79" s="139">
        <v>38400</v>
      </c>
      <c r="H79" s="139">
        <v>34109</v>
      </c>
      <c r="I79" s="139">
        <v>38538</v>
      </c>
      <c r="J79" s="139">
        <v>15367</v>
      </c>
      <c r="K79" s="139">
        <v>28222</v>
      </c>
      <c r="L79" s="139">
        <v>22704</v>
      </c>
      <c r="M79" s="139">
        <v>27788</v>
      </c>
      <c r="N79" s="139">
        <v>29906000</v>
      </c>
      <c r="O79" s="139">
        <v>32553000</v>
      </c>
      <c r="P79" s="139">
        <f t="shared" si="3"/>
        <v>25689</v>
      </c>
      <c r="Q79" s="139">
        <f t="shared" si="4"/>
        <v>36293.75</v>
      </c>
      <c r="R79" s="139">
        <v>99328</v>
      </c>
      <c r="S79" s="139">
        <f t="shared" si="5"/>
        <v>14239662.080000002</v>
      </c>
      <c r="U79" s="139" t="s">
        <v>220</v>
      </c>
    </row>
    <row r="80" spans="1:21" x14ac:dyDescent="0.2">
      <c r="A80" s="139" t="s">
        <v>691</v>
      </c>
      <c r="C80" s="139" t="s">
        <v>329</v>
      </c>
      <c r="D80" s="139">
        <v>13484</v>
      </c>
      <c r="E80" s="139">
        <v>13928</v>
      </c>
      <c r="F80" s="139">
        <v>9316</v>
      </c>
      <c r="G80" s="139">
        <v>9330</v>
      </c>
      <c r="H80" s="139">
        <v>17369</v>
      </c>
      <c r="I80" s="139">
        <v>17108</v>
      </c>
      <c r="J80" s="139">
        <v>13550</v>
      </c>
      <c r="K80" s="139">
        <v>15332</v>
      </c>
      <c r="L80" s="139">
        <v>18094</v>
      </c>
      <c r="M80" s="139">
        <v>15475</v>
      </c>
      <c r="N80" s="139">
        <v>12709000</v>
      </c>
      <c r="O80" s="139">
        <v>12639000</v>
      </c>
      <c r="P80" s="139">
        <f t="shared" si="3"/>
        <v>13219.5</v>
      </c>
      <c r="Q80" s="139">
        <f t="shared" si="4"/>
        <v>13251.25</v>
      </c>
      <c r="R80" s="139">
        <v>27225</v>
      </c>
      <c r="S80" s="139">
        <f t="shared" si="5"/>
        <v>3902976.0000000005</v>
      </c>
      <c r="U80" s="139" t="s">
        <v>329</v>
      </c>
    </row>
    <row r="81" spans="1:21" x14ac:dyDescent="0.2">
      <c r="A81" s="139" t="s">
        <v>695</v>
      </c>
      <c r="C81" s="139" t="s">
        <v>221</v>
      </c>
      <c r="D81" s="139">
        <v>8379</v>
      </c>
      <c r="E81" s="139">
        <v>8261</v>
      </c>
      <c r="F81" s="139">
        <v>9192</v>
      </c>
      <c r="G81" s="139">
        <v>9231</v>
      </c>
      <c r="H81" s="139">
        <v>7417</v>
      </c>
      <c r="I81" s="139">
        <v>7638</v>
      </c>
      <c r="J81" s="139">
        <v>8298</v>
      </c>
      <c r="K81" s="139">
        <v>8600</v>
      </c>
      <c r="L81" s="139">
        <v>5029</v>
      </c>
      <c r="M81" s="139">
        <v>7660</v>
      </c>
      <c r="N81" s="139">
        <v>5405000</v>
      </c>
      <c r="O81" s="139">
        <v>4749000</v>
      </c>
      <c r="P81" s="139">
        <f t="shared" si="3"/>
        <v>7598.25</v>
      </c>
      <c r="Q81" s="139">
        <f t="shared" si="4"/>
        <v>7469.75</v>
      </c>
      <c r="R81" s="139">
        <v>26243</v>
      </c>
      <c r="S81" s="139">
        <f t="shared" si="5"/>
        <v>3762196.4800000004</v>
      </c>
      <c r="U81" s="139" t="s">
        <v>221</v>
      </c>
    </row>
    <row r="82" spans="1:21" x14ac:dyDescent="0.2">
      <c r="A82" s="139" t="s">
        <v>692</v>
      </c>
      <c r="C82" s="139" t="s">
        <v>251</v>
      </c>
      <c r="D82" s="139">
        <v>1432</v>
      </c>
      <c r="E82" s="139">
        <v>1431</v>
      </c>
      <c r="F82" s="139">
        <v>2298</v>
      </c>
      <c r="G82" s="139">
        <v>2054</v>
      </c>
      <c r="H82" s="139">
        <v>1363</v>
      </c>
      <c r="I82" s="139">
        <v>1362</v>
      </c>
      <c r="J82" s="139">
        <v>420</v>
      </c>
      <c r="K82" s="139">
        <v>400</v>
      </c>
      <c r="L82" s="139">
        <v>317</v>
      </c>
      <c r="M82" s="139">
        <v>317</v>
      </c>
      <c r="N82" s="139">
        <v>522000</v>
      </c>
      <c r="O82" s="139">
        <v>502000</v>
      </c>
      <c r="P82" s="139">
        <f t="shared" si="3"/>
        <v>1403.75</v>
      </c>
      <c r="Q82" s="139">
        <f t="shared" si="4"/>
        <v>1337.25</v>
      </c>
      <c r="R82" s="139">
        <v>11345</v>
      </c>
      <c r="S82" s="139">
        <f t="shared" si="5"/>
        <v>1626419.2000000002</v>
      </c>
      <c r="U82" s="139" t="s">
        <v>251</v>
      </c>
    </row>
    <row r="83" spans="1:21" x14ac:dyDescent="0.2">
      <c r="A83" s="139" t="s">
        <v>692</v>
      </c>
      <c r="C83" s="139" t="s">
        <v>252</v>
      </c>
      <c r="D83" s="139">
        <v>25351</v>
      </c>
      <c r="E83" s="139">
        <v>37467</v>
      </c>
      <c r="F83" s="139">
        <v>49323</v>
      </c>
      <c r="G83" s="139">
        <v>63944</v>
      </c>
      <c r="H83" s="139">
        <v>42573</v>
      </c>
      <c r="I83" s="139">
        <v>48878</v>
      </c>
      <c r="J83" s="139">
        <v>23309</v>
      </c>
      <c r="K83" s="139">
        <v>25054</v>
      </c>
      <c r="L83" s="139">
        <v>18210</v>
      </c>
      <c r="M83" s="139">
        <v>18247</v>
      </c>
      <c r="N83" s="139">
        <v>21206000</v>
      </c>
      <c r="O83" s="139">
        <v>20646000</v>
      </c>
      <c r="P83" s="139">
        <f t="shared" si="3"/>
        <v>34613.25</v>
      </c>
      <c r="Q83" s="139">
        <f t="shared" si="4"/>
        <v>42733.75</v>
      </c>
      <c r="R83" s="139">
        <v>57065</v>
      </c>
      <c r="S83" s="139">
        <f t="shared" si="5"/>
        <v>8180838.4000000004</v>
      </c>
      <c r="U83" s="139" t="s">
        <v>252</v>
      </c>
    </row>
    <row r="84" spans="1:21" x14ac:dyDescent="0.2">
      <c r="A84" s="139" t="s">
        <v>690</v>
      </c>
      <c r="C84" s="139" t="s">
        <v>450</v>
      </c>
      <c r="D84" s="139">
        <v>8133</v>
      </c>
      <c r="E84" s="139">
        <v>8286</v>
      </c>
      <c r="F84" s="139">
        <v>10063</v>
      </c>
      <c r="G84" s="139">
        <v>10308</v>
      </c>
      <c r="H84" s="139">
        <v>5656</v>
      </c>
      <c r="I84" s="139">
        <v>5353</v>
      </c>
      <c r="J84" s="139">
        <v>8189</v>
      </c>
      <c r="K84" s="139">
        <v>13973</v>
      </c>
      <c r="L84" s="139">
        <v>2693</v>
      </c>
      <c r="M84" s="139">
        <v>3185</v>
      </c>
      <c r="N84" s="139">
        <v>5622000</v>
      </c>
      <c r="O84" s="139">
        <v>6415000</v>
      </c>
      <c r="P84" s="139">
        <f t="shared" si="3"/>
        <v>7368.5</v>
      </c>
      <c r="Q84" s="139">
        <f t="shared" si="4"/>
        <v>7590.5</v>
      </c>
      <c r="R84" s="139">
        <v>25511</v>
      </c>
      <c r="S84" s="139">
        <f t="shared" si="5"/>
        <v>3657256.9600000004</v>
      </c>
      <c r="U84" s="139" t="s">
        <v>450</v>
      </c>
    </row>
    <row r="85" spans="1:21" x14ac:dyDescent="0.2">
      <c r="A85" s="139" t="s">
        <v>693</v>
      </c>
      <c r="C85" s="139" t="s">
        <v>200</v>
      </c>
      <c r="D85" s="139">
        <v>1469</v>
      </c>
      <c r="E85" s="139">
        <v>1369</v>
      </c>
      <c r="F85" s="139">
        <v>2055</v>
      </c>
      <c r="G85" s="139">
        <v>1908</v>
      </c>
      <c r="H85" s="139">
        <v>2780</v>
      </c>
      <c r="I85" s="139">
        <v>3251</v>
      </c>
      <c r="J85" s="139">
        <v>1063</v>
      </c>
      <c r="K85" s="139">
        <v>1191</v>
      </c>
      <c r="L85" s="139">
        <v>1514</v>
      </c>
      <c r="M85" s="139">
        <v>1583</v>
      </c>
      <c r="N85" s="139">
        <v>174000</v>
      </c>
      <c r="O85" s="139">
        <v>203000</v>
      </c>
      <c r="P85" s="139">
        <f t="shared" si="3"/>
        <v>1619.5</v>
      </c>
      <c r="Q85" s="139">
        <f t="shared" si="4"/>
        <v>1682.75</v>
      </c>
      <c r="R85" s="139">
        <v>23904</v>
      </c>
      <c r="S85" s="139">
        <f t="shared" si="5"/>
        <v>3426877.4400000004</v>
      </c>
      <c r="U85" s="139" t="s">
        <v>200</v>
      </c>
    </row>
    <row r="86" spans="1:21" x14ac:dyDescent="0.2">
      <c r="A86" s="139" t="s">
        <v>694</v>
      </c>
      <c r="C86" s="139" t="s">
        <v>374</v>
      </c>
      <c r="D86" s="139">
        <v>38899</v>
      </c>
      <c r="E86" s="139">
        <v>46700</v>
      </c>
      <c r="F86" s="139">
        <v>34712</v>
      </c>
      <c r="G86" s="139">
        <v>32435</v>
      </c>
      <c r="H86" s="139">
        <v>50994</v>
      </c>
      <c r="I86" s="139">
        <v>84006</v>
      </c>
      <c r="J86" s="139">
        <v>50377</v>
      </c>
      <c r="K86" s="139">
        <v>94318</v>
      </c>
      <c r="L86" s="139">
        <v>21818</v>
      </c>
      <c r="M86" s="139">
        <v>22285</v>
      </c>
      <c r="N86" s="139">
        <v>18603000</v>
      </c>
      <c r="O86" s="139">
        <v>19782000</v>
      </c>
      <c r="P86" s="139">
        <f t="shared" si="3"/>
        <v>35802</v>
      </c>
      <c r="Q86" s="139">
        <f t="shared" si="4"/>
        <v>45730.75</v>
      </c>
      <c r="R86" s="139">
        <v>118624</v>
      </c>
      <c r="S86" s="139">
        <f t="shared" si="5"/>
        <v>17005936.640000001</v>
      </c>
      <c r="U86" s="139" t="s">
        <v>374</v>
      </c>
    </row>
    <row r="87" spans="1:21" x14ac:dyDescent="0.2">
      <c r="A87" s="139" t="s">
        <v>691</v>
      </c>
      <c r="C87" s="139" t="s">
        <v>330</v>
      </c>
      <c r="D87" s="139">
        <v>3399</v>
      </c>
      <c r="E87" s="139">
        <v>2813</v>
      </c>
      <c r="F87" s="139">
        <v>2142</v>
      </c>
      <c r="G87" s="139">
        <v>7120</v>
      </c>
      <c r="H87" s="139">
        <v>2744</v>
      </c>
      <c r="I87" s="139">
        <v>3037</v>
      </c>
      <c r="J87" s="139">
        <v>3292</v>
      </c>
      <c r="K87" s="139">
        <v>3152</v>
      </c>
      <c r="L87" s="139">
        <v>2063</v>
      </c>
      <c r="M87" s="139">
        <v>1148</v>
      </c>
      <c r="N87" s="139">
        <v>4120000</v>
      </c>
      <c r="O87" s="139">
        <v>3234000</v>
      </c>
      <c r="P87" s="139">
        <f t="shared" si="3"/>
        <v>3101.25</v>
      </c>
      <c r="Q87" s="139">
        <f t="shared" si="4"/>
        <v>4051</v>
      </c>
      <c r="R87" s="139">
        <v>19383</v>
      </c>
      <c r="S87" s="139">
        <f t="shared" si="5"/>
        <v>2778746.8800000004</v>
      </c>
      <c r="U87" s="139" t="s">
        <v>330</v>
      </c>
    </row>
    <row r="88" spans="1:21" x14ac:dyDescent="0.2">
      <c r="A88" s="139" t="s">
        <v>690</v>
      </c>
      <c r="C88" s="139" t="s">
        <v>451</v>
      </c>
      <c r="D88" s="139">
        <v>7391</v>
      </c>
      <c r="E88" s="139">
        <v>6028</v>
      </c>
      <c r="F88" s="139">
        <v>25089</v>
      </c>
      <c r="G88" s="139">
        <v>22499</v>
      </c>
      <c r="H88" s="139">
        <v>8473</v>
      </c>
      <c r="I88" s="139">
        <v>7651</v>
      </c>
      <c r="J88" s="139">
        <v>7977</v>
      </c>
      <c r="K88" s="139">
        <v>7825</v>
      </c>
      <c r="L88" s="139">
        <v>4678</v>
      </c>
      <c r="M88" s="139">
        <v>3267</v>
      </c>
      <c r="N88" s="139">
        <v>1093000</v>
      </c>
      <c r="O88" s="139">
        <v>892000</v>
      </c>
      <c r="P88" s="139">
        <f t="shared" si="3"/>
        <v>10511.5</v>
      </c>
      <c r="Q88" s="139">
        <f t="shared" si="4"/>
        <v>9267.5</v>
      </c>
      <c r="R88" s="139">
        <v>26863</v>
      </c>
      <c r="S88" s="139">
        <f t="shared" si="5"/>
        <v>3851079.6800000002</v>
      </c>
      <c r="U88" s="139" t="s">
        <v>451</v>
      </c>
    </row>
    <row r="89" spans="1:21" x14ac:dyDescent="0.2">
      <c r="A89" s="139" t="s">
        <v>696</v>
      </c>
      <c r="C89" s="139" t="s">
        <v>530</v>
      </c>
      <c r="D89" s="139">
        <v>12767</v>
      </c>
      <c r="E89" s="139">
        <v>14109</v>
      </c>
      <c r="F89" s="139">
        <v>12456</v>
      </c>
      <c r="G89" s="139">
        <v>12651</v>
      </c>
      <c r="H89" s="139">
        <v>5287</v>
      </c>
      <c r="I89" s="139">
        <v>7546</v>
      </c>
      <c r="J89" s="139">
        <v>12250</v>
      </c>
      <c r="K89" s="139">
        <v>12923</v>
      </c>
      <c r="L89" s="139">
        <v>9034</v>
      </c>
      <c r="M89" s="139">
        <v>11751</v>
      </c>
      <c r="N89" s="139">
        <v>12942000</v>
      </c>
      <c r="O89" s="139">
        <v>10953000</v>
      </c>
      <c r="P89" s="139">
        <f t="shared" si="3"/>
        <v>10863</v>
      </c>
      <c r="Q89" s="139">
        <f t="shared" si="4"/>
        <v>11314.75</v>
      </c>
      <c r="R89" s="139">
        <v>40745</v>
      </c>
      <c r="S89" s="139">
        <f t="shared" si="5"/>
        <v>5841203.2000000002</v>
      </c>
      <c r="U89" s="139" t="s">
        <v>530</v>
      </c>
    </row>
    <row r="90" spans="1:21" x14ac:dyDescent="0.2">
      <c r="A90" s="139" t="s">
        <v>692</v>
      </c>
      <c r="C90" s="139" t="s">
        <v>253</v>
      </c>
      <c r="D90" s="139">
        <v>6969</v>
      </c>
      <c r="E90" s="139">
        <v>9012</v>
      </c>
      <c r="F90" s="139">
        <v>3082</v>
      </c>
      <c r="G90" s="139">
        <v>3273</v>
      </c>
      <c r="H90" s="139">
        <v>3153</v>
      </c>
      <c r="I90" s="139">
        <v>4990</v>
      </c>
      <c r="J90" s="139">
        <v>3814</v>
      </c>
      <c r="K90" s="139">
        <v>3488</v>
      </c>
      <c r="L90" s="139">
        <v>1851</v>
      </c>
      <c r="M90" s="139">
        <v>4673</v>
      </c>
      <c r="N90" s="139">
        <v>2405000</v>
      </c>
      <c r="O90" s="139">
        <v>2374000</v>
      </c>
      <c r="P90" s="139">
        <f t="shared" si="3"/>
        <v>3902.25</v>
      </c>
      <c r="Q90" s="139">
        <f t="shared" si="4"/>
        <v>4912.25</v>
      </c>
      <c r="R90" s="139">
        <v>18561</v>
      </c>
      <c r="S90" s="139">
        <f t="shared" si="5"/>
        <v>2660904.9600000004</v>
      </c>
      <c r="U90" s="139" t="s">
        <v>253</v>
      </c>
    </row>
    <row r="91" spans="1:21" x14ac:dyDescent="0.2">
      <c r="A91" s="139" t="s">
        <v>692</v>
      </c>
      <c r="C91" s="139" t="s">
        <v>254</v>
      </c>
      <c r="D91" s="139">
        <v>9770</v>
      </c>
      <c r="E91" s="139">
        <v>10398</v>
      </c>
      <c r="F91" s="139">
        <v>6668</v>
      </c>
      <c r="G91" s="139">
        <v>18037</v>
      </c>
      <c r="H91" s="139">
        <v>1760</v>
      </c>
      <c r="I91" s="139">
        <v>6483</v>
      </c>
      <c r="J91" s="139">
        <v>6630</v>
      </c>
      <c r="K91" s="139">
        <v>8645</v>
      </c>
      <c r="L91" s="139">
        <v>4226</v>
      </c>
      <c r="M91" s="139">
        <v>4773</v>
      </c>
      <c r="N91" s="139">
        <v>4227000</v>
      </c>
      <c r="O91" s="139">
        <v>6768000</v>
      </c>
      <c r="P91" s="139">
        <f t="shared" si="3"/>
        <v>5606.25</v>
      </c>
      <c r="Q91" s="139">
        <f t="shared" si="4"/>
        <v>10421.5</v>
      </c>
      <c r="R91" s="139">
        <v>25399</v>
      </c>
      <c r="S91" s="139">
        <f t="shared" si="5"/>
        <v>3641200.6400000001</v>
      </c>
      <c r="U91" s="139" t="s">
        <v>254</v>
      </c>
    </row>
    <row r="92" spans="1:21" ht="10.15" customHeight="1" x14ac:dyDescent="0.2">
      <c r="A92" s="139" t="s">
        <v>699</v>
      </c>
      <c r="C92" s="139" t="s">
        <v>500</v>
      </c>
      <c r="D92" s="139">
        <v>6123</v>
      </c>
      <c r="E92" s="139">
        <v>4640</v>
      </c>
      <c r="F92" s="139">
        <v>4432</v>
      </c>
      <c r="G92" s="139">
        <v>4514</v>
      </c>
      <c r="H92" s="139">
        <v>37775</v>
      </c>
      <c r="I92" s="139">
        <v>35837</v>
      </c>
      <c r="J92" s="139">
        <v>3093</v>
      </c>
      <c r="K92" s="139">
        <v>3364</v>
      </c>
      <c r="L92" s="139">
        <v>6637</v>
      </c>
      <c r="M92" s="139">
        <v>7321</v>
      </c>
      <c r="N92" s="139">
        <v>4715000</v>
      </c>
      <c r="O92" s="139">
        <v>5194000</v>
      </c>
      <c r="P92" s="139">
        <f t="shared" si="3"/>
        <v>13261.25</v>
      </c>
      <c r="Q92" s="139">
        <f t="shared" si="4"/>
        <v>12546.25</v>
      </c>
      <c r="R92" s="139">
        <v>31826</v>
      </c>
      <c r="S92" s="139">
        <f t="shared" si="5"/>
        <v>4562575.3600000003</v>
      </c>
      <c r="U92" s="139" t="s">
        <v>500</v>
      </c>
    </row>
    <row r="93" spans="1:21" x14ac:dyDescent="0.2">
      <c r="A93" s="139" t="s">
        <v>691</v>
      </c>
      <c r="C93" s="139" t="s">
        <v>331</v>
      </c>
      <c r="D93" s="139">
        <v>7379</v>
      </c>
      <c r="E93" s="139">
        <v>5058</v>
      </c>
      <c r="F93" s="139">
        <v>65847</v>
      </c>
      <c r="G93" s="139">
        <v>64384</v>
      </c>
      <c r="H93" s="139">
        <v>22242</v>
      </c>
      <c r="I93" s="139">
        <v>22545</v>
      </c>
      <c r="J93" s="139">
        <v>2666</v>
      </c>
      <c r="K93" s="139">
        <v>3242</v>
      </c>
      <c r="L93" s="139">
        <v>5747</v>
      </c>
      <c r="M93" s="139">
        <v>6126</v>
      </c>
      <c r="N93" s="139">
        <v>4803000</v>
      </c>
      <c r="O93" s="139">
        <v>7901000</v>
      </c>
      <c r="P93" s="139">
        <f t="shared" si="3"/>
        <v>25067.75</v>
      </c>
      <c r="Q93" s="139">
        <f t="shared" si="4"/>
        <v>24972</v>
      </c>
      <c r="R93" s="139">
        <v>35802</v>
      </c>
      <c r="S93" s="139">
        <f t="shared" si="5"/>
        <v>5132574.7200000007</v>
      </c>
      <c r="U93" s="139" t="s">
        <v>331</v>
      </c>
    </row>
    <row r="94" spans="1:21" x14ac:dyDescent="0.2">
      <c r="A94" s="139" t="s">
        <v>692</v>
      </c>
      <c r="C94" s="139" t="s">
        <v>255</v>
      </c>
      <c r="D94" s="139">
        <v>36924</v>
      </c>
      <c r="E94" s="139">
        <v>51163</v>
      </c>
      <c r="F94" s="139">
        <v>66741</v>
      </c>
      <c r="G94" s="139">
        <v>81433</v>
      </c>
      <c r="H94" s="139">
        <v>25486</v>
      </c>
      <c r="I94" s="139">
        <v>45634</v>
      </c>
      <c r="J94" s="139">
        <v>40192</v>
      </c>
      <c r="K94" s="139">
        <v>32626</v>
      </c>
      <c r="L94" s="139">
        <v>59958</v>
      </c>
      <c r="M94" s="139">
        <v>70333</v>
      </c>
      <c r="N94" s="139">
        <v>51574000</v>
      </c>
      <c r="O94" s="139">
        <v>52951000</v>
      </c>
      <c r="P94" s="139">
        <f t="shared" si="3"/>
        <v>45181.25</v>
      </c>
      <c r="Q94" s="139">
        <f t="shared" si="4"/>
        <v>57795.25</v>
      </c>
      <c r="R94" s="139">
        <v>113448</v>
      </c>
      <c r="S94" s="139">
        <f t="shared" si="5"/>
        <v>16263905.280000001</v>
      </c>
      <c r="U94" s="139" t="s">
        <v>255</v>
      </c>
    </row>
    <row r="95" spans="1:21" ht="13.15" customHeight="1" x14ac:dyDescent="0.2">
      <c r="A95" s="139" t="s">
        <v>697</v>
      </c>
      <c r="C95" s="139" t="s">
        <v>300</v>
      </c>
      <c r="D95" s="139">
        <v>2902</v>
      </c>
      <c r="E95" s="139">
        <v>2962</v>
      </c>
      <c r="F95" s="139">
        <v>1540</v>
      </c>
      <c r="G95" s="139">
        <v>1591</v>
      </c>
      <c r="H95" s="139">
        <v>3203</v>
      </c>
      <c r="I95" s="139">
        <v>3277</v>
      </c>
      <c r="J95" s="139">
        <v>5419</v>
      </c>
      <c r="K95" s="139">
        <v>5810</v>
      </c>
      <c r="L95" s="139">
        <v>16512</v>
      </c>
      <c r="M95" s="139">
        <v>14084</v>
      </c>
      <c r="N95" s="139">
        <v>2580000</v>
      </c>
      <c r="O95" s="139">
        <v>2527000</v>
      </c>
      <c r="P95" s="139">
        <f t="shared" si="3"/>
        <v>2556.25</v>
      </c>
      <c r="Q95" s="139">
        <f t="shared" si="4"/>
        <v>2589.25</v>
      </c>
      <c r="R95" s="139">
        <v>9000</v>
      </c>
      <c r="S95" s="139">
        <f t="shared" si="5"/>
        <v>1290240.0000000002</v>
      </c>
      <c r="U95" s="139" t="s">
        <v>300</v>
      </c>
    </row>
    <row r="96" spans="1:21" x14ac:dyDescent="0.2">
      <c r="A96" s="139" t="s">
        <v>698</v>
      </c>
      <c r="C96" s="139" t="s">
        <v>179</v>
      </c>
      <c r="D96" s="139">
        <v>1545</v>
      </c>
      <c r="E96" s="139">
        <v>2114</v>
      </c>
      <c r="F96" s="139">
        <v>1052</v>
      </c>
      <c r="G96" s="139">
        <v>6376</v>
      </c>
      <c r="H96" s="139">
        <v>1334</v>
      </c>
      <c r="I96" s="139">
        <v>1974</v>
      </c>
      <c r="J96" s="139">
        <v>1922</v>
      </c>
      <c r="K96" s="139">
        <v>1070</v>
      </c>
      <c r="L96" s="139">
        <v>1244</v>
      </c>
      <c r="M96" s="139">
        <v>659</v>
      </c>
      <c r="N96" s="139">
        <v>338000</v>
      </c>
      <c r="O96" s="139">
        <v>746000</v>
      </c>
      <c r="P96" s="139">
        <f t="shared" si="3"/>
        <v>1067.25</v>
      </c>
      <c r="Q96" s="139">
        <f t="shared" si="4"/>
        <v>2802.5</v>
      </c>
      <c r="R96" s="139">
        <v>15656</v>
      </c>
      <c r="S96" s="139">
        <f t="shared" si="5"/>
        <v>2244444.1600000001</v>
      </c>
      <c r="U96" s="139" t="s">
        <v>179</v>
      </c>
    </row>
    <row r="97" spans="1:21" x14ac:dyDescent="0.2">
      <c r="A97" s="139" t="s">
        <v>690</v>
      </c>
      <c r="C97" s="139" t="s">
        <v>452</v>
      </c>
      <c r="D97" s="139">
        <v>233</v>
      </c>
      <c r="E97" s="139">
        <v>30</v>
      </c>
      <c r="F97" s="139">
        <v>11629</v>
      </c>
      <c r="G97" s="139">
        <v>11356</v>
      </c>
      <c r="H97" s="139">
        <v>41</v>
      </c>
      <c r="I97" s="139">
        <v>572</v>
      </c>
      <c r="J97" s="139">
        <v>5278</v>
      </c>
      <c r="K97" s="139">
        <v>6804</v>
      </c>
      <c r="L97" s="139">
        <v>6790</v>
      </c>
      <c r="M97" s="139">
        <v>7359</v>
      </c>
      <c r="N97" s="139">
        <v>5614000</v>
      </c>
      <c r="O97" s="139">
        <v>5644000</v>
      </c>
      <c r="P97" s="139">
        <f t="shared" si="3"/>
        <v>4379.25</v>
      </c>
      <c r="Q97" s="139">
        <f t="shared" si="4"/>
        <v>4400.5</v>
      </c>
      <c r="R97" s="139">
        <v>18554</v>
      </c>
      <c r="S97" s="139">
        <f t="shared" si="5"/>
        <v>2659901.4400000004</v>
      </c>
      <c r="U97" s="139" t="s">
        <v>452</v>
      </c>
    </row>
    <row r="98" spans="1:21" x14ac:dyDescent="0.2">
      <c r="A98" s="139" t="s">
        <v>699</v>
      </c>
      <c r="C98" s="139" t="s">
        <v>501</v>
      </c>
      <c r="D98" s="139">
        <v>4155</v>
      </c>
      <c r="E98" s="139">
        <v>9964</v>
      </c>
      <c r="F98" s="139">
        <v>2337</v>
      </c>
      <c r="G98" s="139">
        <v>2395</v>
      </c>
      <c r="H98" s="139">
        <v>4333</v>
      </c>
      <c r="I98" s="139">
        <v>5009</v>
      </c>
      <c r="J98" s="139">
        <v>5873</v>
      </c>
      <c r="K98" s="139">
        <v>5984</v>
      </c>
      <c r="L98" s="139">
        <v>5744</v>
      </c>
      <c r="M98" s="139">
        <v>5639</v>
      </c>
      <c r="N98" s="139">
        <v>2810000</v>
      </c>
      <c r="O98" s="139">
        <v>5479000</v>
      </c>
      <c r="P98" s="139">
        <f t="shared" si="3"/>
        <v>3408.75</v>
      </c>
      <c r="Q98" s="139">
        <f t="shared" si="4"/>
        <v>5711.75</v>
      </c>
      <c r="R98" s="139">
        <v>25297</v>
      </c>
      <c r="S98" s="139">
        <f t="shared" si="5"/>
        <v>3626577.9200000004</v>
      </c>
      <c r="U98" s="139" t="s">
        <v>501</v>
      </c>
    </row>
    <row r="99" spans="1:21" x14ac:dyDescent="0.2">
      <c r="A99" s="139" t="s">
        <v>690</v>
      </c>
      <c r="C99" s="139" t="s">
        <v>453</v>
      </c>
      <c r="D99" s="139">
        <v>89424</v>
      </c>
      <c r="E99" s="139">
        <v>86852</v>
      </c>
      <c r="F99" s="139">
        <v>40715</v>
      </c>
      <c r="G99" s="139">
        <v>40495</v>
      </c>
      <c r="H99" s="139">
        <v>88428</v>
      </c>
      <c r="I99" s="139">
        <v>63759</v>
      </c>
      <c r="J99" s="139">
        <v>-65471</v>
      </c>
      <c r="K99" s="139">
        <v>63013</v>
      </c>
      <c r="L99" s="139">
        <v>39675</v>
      </c>
      <c r="M99" s="139">
        <v>45818</v>
      </c>
      <c r="N99" s="139">
        <v>59232000</v>
      </c>
      <c r="O99" s="139">
        <v>59044000</v>
      </c>
      <c r="P99" s="139">
        <f t="shared" si="3"/>
        <v>69449.75</v>
      </c>
      <c r="Q99" s="139">
        <f t="shared" si="4"/>
        <v>62537.5</v>
      </c>
      <c r="R99" s="139">
        <v>226879</v>
      </c>
      <c r="S99" s="139">
        <f t="shared" si="5"/>
        <v>32525373.440000001</v>
      </c>
      <c r="U99" s="139" t="s">
        <v>453</v>
      </c>
    </row>
    <row r="100" spans="1:21" x14ac:dyDescent="0.2">
      <c r="A100" s="139" t="s">
        <v>692</v>
      </c>
      <c r="C100" s="139" t="s">
        <v>256</v>
      </c>
      <c r="D100" s="139">
        <v>6837</v>
      </c>
      <c r="E100" s="139">
        <v>7358</v>
      </c>
      <c r="F100" s="139">
        <v>6540</v>
      </c>
      <c r="G100" s="139">
        <v>9207</v>
      </c>
      <c r="H100" s="139">
        <v>2757</v>
      </c>
      <c r="I100" s="139">
        <v>3306</v>
      </c>
      <c r="J100" s="139">
        <v>1818</v>
      </c>
      <c r="K100" s="139">
        <v>2109</v>
      </c>
      <c r="L100" s="139">
        <v>2742</v>
      </c>
      <c r="M100" s="139">
        <v>3206</v>
      </c>
      <c r="N100" s="139">
        <v>2882000</v>
      </c>
      <c r="O100" s="139">
        <v>2979000</v>
      </c>
      <c r="P100" s="139">
        <f t="shared" si="3"/>
        <v>4754</v>
      </c>
      <c r="Q100" s="139">
        <f t="shared" si="4"/>
        <v>5712.5</v>
      </c>
      <c r="R100" s="139">
        <v>23029</v>
      </c>
      <c r="S100" s="139">
        <f t="shared" si="5"/>
        <v>3301437.4400000004</v>
      </c>
      <c r="U100" s="139" t="s">
        <v>256</v>
      </c>
    </row>
    <row r="101" spans="1:21" x14ac:dyDescent="0.2">
      <c r="A101" s="139" t="s">
        <v>689</v>
      </c>
      <c r="C101" s="139" t="s">
        <v>165</v>
      </c>
      <c r="D101" s="139">
        <v>32553</v>
      </c>
      <c r="E101" s="139">
        <v>32358</v>
      </c>
      <c r="F101" s="139">
        <v>53917</v>
      </c>
      <c r="G101" s="139">
        <v>65894</v>
      </c>
      <c r="H101" s="139">
        <v>37994</v>
      </c>
      <c r="I101" s="139">
        <v>40393</v>
      </c>
      <c r="J101" s="139">
        <v>36831</v>
      </c>
      <c r="K101" s="139">
        <v>52604</v>
      </c>
      <c r="L101" s="139">
        <v>35195</v>
      </c>
      <c r="M101" s="139">
        <v>41095</v>
      </c>
      <c r="N101" s="139">
        <v>23825000</v>
      </c>
      <c r="O101" s="139">
        <v>26922000</v>
      </c>
      <c r="P101" s="139">
        <f t="shared" si="3"/>
        <v>37072.25</v>
      </c>
      <c r="Q101" s="139">
        <f t="shared" si="4"/>
        <v>41391.75</v>
      </c>
      <c r="R101" s="139">
        <v>107508</v>
      </c>
      <c r="S101" s="139">
        <f t="shared" si="5"/>
        <v>15412346.880000001</v>
      </c>
      <c r="U101" s="139" t="s">
        <v>165</v>
      </c>
    </row>
    <row r="102" spans="1:21" x14ac:dyDescent="0.2">
      <c r="A102" s="139" t="s">
        <v>691</v>
      </c>
      <c r="C102" s="139" t="s">
        <v>332</v>
      </c>
      <c r="D102" s="139">
        <v>1415</v>
      </c>
      <c r="E102" s="139">
        <v>1206</v>
      </c>
      <c r="F102" s="139">
        <v>1524</v>
      </c>
      <c r="G102" s="139">
        <v>1870</v>
      </c>
      <c r="H102" s="139">
        <v>2358</v>
      </c>
      <c r="I102" s="139">
        <v>1845</v>
      </c>
      <c r="J102" s="139">
        <v>809</v>
      </c>
      <c r="K102" s="139">
        <v>1128</v>
      </c>
      <c r="L102" s="139">
        <v>737</v>
      </c>
      <c r="M102" s="139">
        <v>764</v>
      </c>
      <c r="N102" s="139">
        <v>447000</v>
      </c>
      <c r="O102" s="139">
        <v>410000</v>
      </c>
      <c r="P102" s="139">
        <f t="shared" si="3"/>
        <v>1436</v>
      </c>
      <c r="Q102" s="139">
        <f t="shared" si="4"/>
        <v>1332.75</v>
      </c>
      <c r="R102" s="139">
        <v>18474</v>
      </c>
      <c r="S102" s="139">
        <f t="shared" si="5"/>
        <v>2648432.6400000001</v>
      </c>
      <c r="U102" s="139" t="s">
        <v>332</v>
      </c>
    </row>
    <row r="103" spans="1:21" x14ac:dyDescent="0.2">
      <c r="A103" s="139" t="s">
        <v>695</v>
      </c>
      <c r="C103" s="139" t="s">
        <v>222</v>
      </c>
      <c r="D103" s="139">
        <v>68081</v>
      </c>
      <c r="E103" s="139">
        <v>82831</v>
      </c>
      <c r="F103" s="139">
        <v>52336</v>
      </c>
      <c r="G103" s="139">
        <v>72605</v>
      </c>
      <c r="H103" s="139">
        <v>51379</v>
      </c>
      <c r="I103" s="139">
        <v>111169</v>
      </c>
      <c r="J103" s="139">
        <v>64629</v>
      </c>
      <c r="K103" s="139">
        <v>63083</v>
      </c>
      <c r="L103" s="139">
        <v>44383</v>
      </c>
      <c r="M103" s="139">
        <v>55458</v>
      </c>
      <c r="N103" s="139">
        <v>136626000</v>
      </c>
      <c r="O103" s="139">
        <v>144096000</v>
      </c>
      <c r="P103" s="139">
        <f t="shared" si="3"/>
        <v>77105.5</v>
      </c>
      <c r="Q103" s="139">
        <f t="shared" si="4"/>
        <v>102675.25</v>
      </c>
      <c r="R103" s="139">
        <v>158142</v>
      </c>
      <c r="S103" s="139">
        <f t="shared" si="5"/>
        <v>22671237.120000001</v>
      </c>
      <c r="U103" s="139" t="s">
        <v>222</v>
      </c>
    </row>
    <row r="104" spans="1:21" x14ac:dyDescent="0.2">
      <c r="A104" s="139" t="s">
        <v>692</v>
      </c>
      <c r="C104" s="139" t="s">
        <v>257</v>
      </c>
      <c r="D104" s="139">
        <v>2956</v>
      </c>
      <c r="E104" s="139">
        <v>6992</v>
      </c>
      <c r="F104" s="139">
        <v>2987</v>
      </c>
      <c r="G104" s="139">
        <v>3303</v>
      </c>
      <c r="H104" s="139">
        <v>5731</v>
      </c>
      <c r="I104" s="139">
        <v>6398</v>
      </c>
      <c r="J104" s="139">
        <v>2281</v>
      </c>
      <c r="K104" s="139">
        <v>2035</v>
      </c>
      <c r="L104" s="139">
        <v>2234</v>
      </c>
      <c r="M104" s="139">
        <v>1693</v>
      </c>
      <c r="N104" s="139">
        <v>4315000</v>
      </c>
      <c r="O104" s="139">
        <v>1409000</v>
      </c>
      <c r="P104" s="139">
        <f t="shared" si="3"/>
        <v>3997.25</v>
      </c>
      <c r="Q104" s="139">
        <f t="shared" si="4"/>
        <v>4525.5</v>
      </c>
      <c r="R104" s="139">
        <v>32543</v>
      </c>
      <c r="S104" s="139">
        <f t="shared" si="5"/>
        <v>4665364.4800000004</v>
      </c>
      <c r="U104" s="139" t="s">
        <v>257</v>
      </c>
    </row>
    <row r="105" spans="1:21" x14ac:dyDescent="0.2">
      <c r="A105" s="139" t="s">
        <v>692</v>
      </c>
      <c r="C105" s="139" t="s">
        <v>258</v>
      </c>
      <c r="D105" s="139">
        <v>6888</v>
      </c>
      <c r="E105" s="139">
        <v>5064</v>
      </c>
      <c r="F105" s="139">
        <v>2500</v>
      </c>
      <c r="G105" s="139">
        <v>2179</v>
      </c>
      <c r="H105" s="139">
        <v>2434</v>
      </c>
      <c r="I105" s="139">
        <v>2103</v>
      </c>
      <c r="J105" s="139">
        <v>5331</v>
      </c>
      <c r="K105" s="139">
        <v>4980</v>
      </c>
      <c r="L105" s="139">
        <v>1896</v>
      </c>
      <c r="M105" s="139">
        <v>1446</v>
      </c>
      <c r="N105" s="139">
        <v>1723000</v>
      </c>
      <c r="O105" s="139">
        <v>1350000</v>
      </c>
      <c r="P105" s="139">
        <f t="shared" si="3"/>
        <v>3386.25</v>
      </c>
      <c r="Q105" s="139">
        <f t="shared" si="4"/>
        <v>2674</v>
      </c>
      <c r="R105" s="139">
        <v>26596</v>
      </c>
      <c r="S105" s="139">
        <f t="shared" si="5"/>
        <v>3812802.5600000005</v>
      </c>
      <c r="U105" s="139" t="s">
        <v>258</v>
      </c>
    </row>
    <row r="106" spans="1:21" x14ac:dyDescent="0.2">
      <c r="A106" s="139" t="s">
        <v>690</v>
      </c>
      <c r="C106" s="139" t="s">
        <v>454</v>
      </c>
      <c r="D106" s="139">
        <v>27820</v>
      </c>
      <c r="E106" s="139">
        <v>26227</v>
      </c>
      <c r="F106" s="139">
        <v>45615</v>
      </c>
      <c r="G106" s="139">
        <v>46198</v>
      </c>
      <c r="H106" s="139">
        <v>18962</v>
      </c>
      <c r="I106" s="139">
        <v>20618</v>
      </c>
      <c r="J106" s="139">
        <v>8105</v>
      </c>
      <c r="K106" s="139">
        <v>10232</v>
      </c>
      <c r="L106" s="139">
        <v>10454</v>
      </c>
      <c r="M106" s="139">
        <v>14078</v>
      </c>
      <c r="N106" s="139">
        <v>16322000</v>
      </c>
      <c r="O106" s="139">
        <v>17000000</v>
      </c>
      <c r="P106" s="139">
        <f t="shared" si="3"/>
        <v>27179.75</v>
      </c>
      <c r="Q106" s="139">
        <f t="shared" si="4"/>
        <v>27510.75</v>
      </c>
      <c r="R106" s="139">
        <v>43032</v>
      </c>
      <c r="S106" s="139">
        <f t="shared" si="5"/>
        <v>6169067.5200000005</v>
      </c>
      <c r="U106" s="139" t="s">
        <v>454</v>
      </c>
    </row>
    <row r="107" spans="1:21" x14ac:dyDescent="0.2">
      <c r="A107" s="139" t="s">
        <v>693</v>
      </c>
      <c r="C107" s="139" t="s">
        <v>201</v>
      </c>
      <c r="D107" s="139">
        <v>3</v>
      </c>
      <c r="E107" s="139">
        <v>1</v>
      </c>
      <c r="F107" s="139">
        <v>38</v>
      </c>
      <c r="G107" s="139">
        <v>0</v>
      </c>
      <c r="H107" s="139">
        <v>256</v>
      </c>
      <c r="I107" s="139">
        <v>2</v>
      </c>
      <c r="J107" s="139">
        <v>159</v>
      </c>
      <c r="K107" s="139">
        <v>23</v>
      </c>
      <c r="L107" s="139">
        <v>114</v>
      </c>
      <c r="M107" s="139">
        <v>213</v>
      </c>
      <c r="N107" s="139">
        <v>345000</v>
      </c>
      <c r="O107" s="139">
        <v>40000</v>
      </c>
      <c r="P107" s="139">
        <f t="shared" si="3"/>
        <v>160.5</v>
      </c>
      <c r="Q107" s="139">
        <f t="shared" si="4"/>
        <v>10.75</v>
      </c>
      <c r="R107" s="139">
        <v>8735</v>
      </c>
      <c r="S107" s="139">
        <f t="shared" si="5"/>
        <v>1252249.6000000001</v>
      </c>
      <c r="U107" s="139" t="s">
        <v>201</v>
      </c>
    </row>
    <row r="108" spans="1:21" x14ac:dyDescent="0.2">
      <c r="A108" s="139" t="s">
        <v>693</v>
      </c>
      <c r="C108" s="139" t="s">
        <v>202</v>
      </c>
      <c r="D108" s="139">
        <v>4372</v>
      </c>
      <c r="E108" s="139">
        <v>4863</v>
      </c>
      <c r="F108" s="139">
        <v>2119</v>
      </c>
      <c r="G108" s="139">
        <v>2700</v>
      </c>
      <c r="H108" s="139">
        <v>2280</v>
      </c>
      <c r="I108" s="139">
        <v>2663</v>
      </c>
      <c r="J108" s="139">
        <v>2847</v>
      </c>
      <c r="K108" s="139">
        <v>6729</v>
      </c>
      <c r="L108" s="139">
        <v>1195</v>
      </c>
      <c r="M108" s="139">
        <v>2138</v>
      </c>
      <c r="N108" s="139">
        <v>4190000</v>
      </c>
      <c r="O108" s="139">
        <v>3808000</v>
      </c>
      <c r="P108" s="139">
        <f t="shared" si="3"/>
        <v>3240.25</v>
      </c>
      <c r="Q108" s="139">
        <f t="shared" si="4"/>
        <v>3508.5</v>
      </c>
      <c r="R108" s="139">
        <v>20211</v>
      </c>
      <c r="S108" s="139">
        <f t="shared" si="5"/>
        <v>2897448.9600000004</v>
      </c>
      <c r="U108" s="139" t="s">
        <v>202</v>
      </c>
    </row>
    <row r="109" spans="1:21" x14ac:dyDescent="0.2">
      <c r="A109" s="139" t="s">
        <v>690</v>
      </c>
      <c r="C109" s="139" t="s">
        <v>455</v>
      </c>
      <c r="D109" s="139">
        <v>4062</v>
      </c>
      <c r="E109" s="139">
        <v>3288</v>
      </c>
      <c r="F109" s="139">
        <v>1221</v>
      </c>
      <c r="G109" s="139">
        <v>763</v>
      </c>
      <c r="H109" s="139">
        <v>145</v>
      </c>
      <c r="I109" s="139">
        <v>374</v>
      </c>
      <c r="J109" s="139">
        <v>2770</v>
      </c>
      <c r="K109" s="139">
        <v>2712</v>
      </c>
      <c r="L109" s="139">
        <v>486</v>
      </c>
      <c r="M109" s="139">
        <v>541</v>
      </c>
      <c r="N109" s="139">
        <v>3781000</v>
      </c>
      <c r="O109" s="139">
        <v>3460000</v>
      </c>
      <c r="P109" s="139">
        <f t="shared" si="3"/>
        <v>2302.25</v>
      </c>
      <c r="Q109" s="139">
        <f t="shared" si="4"/>
        <v>1971.25</v>
      </c>
      <c r="R109" s="139">
        <v>21502</v>
      </c>
      <c r="S109" s="139">
        <f t="shared" si="5"/>
        <v>3082526.7200000002</v>
      </c>
      <c r="U109" s="139" t="s">
        <v>455</v>
      </c>
    </row>
    <row r="110" spans="1:21" x14ac:dyDescent="0.2">
      <c r="A110" s="139" t="s">
        <v>692</v>
      </c>
      <c r="C110" s="139" t="s">
        <v>259</v>
      </c>
      <c r="D110" s="139">
        <v>9084</v>
      </c>
      <c r="E110" s="139">
        <v>10466</v>
      </c>
      <c r="F110" s="139">
        <v>18093</v>
      </c>
      <c r="G110" s="139">
        <v>18753</v>
      </c>
      <c r="H110" s="139">
        <v>15081</v>
      </c>
      <c r="I110" s="139">
        <v>36739</v>
      </c>
      <c r="J110" s="139">
        <v>5948</v>
      </c>
      <c r="K110" s="139">
        <v>12235</v>
      </c>
      <c r="L110" s="139">
        <v>5067</v>
      </c>
      <c r="M110" s="139">
        <v>5309</v>
      </c>
      <c r="N110" s="139">
        <v>18626000</v>
      </c>
      <c r="O110" s="139">
        <v>17762000</v>
      </c>
      <c r="P110" s="139">
        <f t="shared" si="3"/>
        <v>15221</v>
      </c>
      <c r="Q110" s="139">
        <f t="shared" si="4"/>
        <v>20930</v>
      </c>
      <c r="R110" s="139">
        <v>26599</v>
      </c>
      <c r="S110" s="139">
        <f t="shared" si="5"/>
        <v>3813232.6400000001</v>
      </c>
      <c r="U110" s="139" t="s">
        <v>259</v>
      </c>
    </row>
    <row r="111" spans="1:21" x14ac:dyDescent="0.2">
      <c r="A111" s="139" t="s">
        <v>690</v>
      </c>
      <c r="C111" s="139" t="s">
        <v>456</v>
      </c>
      <c r="D111" s="139">
        <v>16673</v>
      </c>
      <c r="E111" s="139">
        <v>17193</v>
      </c>
      <c r="F111" s="139">
        <v>7849</v>
      </c>
      <c r="G111" s="139">
        <v>11349</v>
      </c>
      <c r="H111" s="139">
        <v>5118</v>
      </c>
      <c r="I111" s="139">
        <v>11144</v>
      </c>
      <c r="J111" s="139">
        <v>5825</v>
      </c>
      <c r="K111" s="139">
        <v>11031</v>
      </c>
      <c r="L111" s="139">
        <v>13175</v>
      </c>
      <c r="M111" s="139">
        <v>7341</v>
      </c>
      <c r="N111" s="139">
        <v>18224000</v>
      </c>
      <c r="O111" s="139">
        <v>7342000</v>
      </c>
      <c r="P111" s="139">
        <f t="shared" si="3"/>
        <v>11966</v>
      </c>
      <c r="Q111" s="139">
        <f t="shared" si="4"/>
        <v>11757</v>
      </c>
      <c r="R111" s="139">
        <v>39070</v>
      </c>
      <c r="S111" s="139">
        <f t="shared" si="5"/>
        <v>5601075.2000000002</v>
      </c>
      <c r="U111" s="139" t="s">
        <v>456</v>
      </c>
    </row>
    <row r="112" spans="1:21" x14ac:dyDescent="0.2">
      <c r="A112" s="139" t="s">
        <v>690</v>
      </c>
      <c r="C112" s="139" t="s">
        <v>457</v>
      </c>
      <c r="D112" s="139">
        <v>13284</v>
      </c>
      <c r="E112" s="139">
        <v>15044</v>
      </c>
      <c r="F112" s="139">
        <v>11332</v>
      </c>
      <c r="G112" s="139">
        <v>11938</v>
      </c>
      <c r="H112" s="139">
        <v>-1618</v>
      </c>
      <c r="I112" s="139">
        <v>10483</v>
      </c>
      <c r="J112" s="139">
        <v>4013</v>
      </c>
      <c r="K112" s="139">
        <v>5723</v>
      </c>
      <c r="L112" s="139">
        <v>4269</v>
      </c>
      <c r="M112" s="139">
        <v>5707</v>
      </c>
      <c r="N112" s="139">
        <v>6134000</v>
      </c>
      <c r="O112" s="139">
        <v>6994000</v>
      </c>
      <c r="P112" s="139">
        <f t="shared" si="3"/>
        <v>7283</v>
      </c>
      <c r="Q112" s="139">
        <f t="shared" si="4"/>
        <v>11114.75</v>
      </c>
      <c r="R112" s="139">
        <v>30032</v>
      </c>
      <c r="S112" s="139">
        <f t="shared" si="5"/>
        <v>4305387.5200000005</v>
      </c>
      <c r="U112" s="139" t="s">
        <v>457</v>
      </c>
    </row>
    <row r="113" spans="1:21" x14ac:dyDescent="0.2">
      <c r="A113" s="139" t="s">
        <v>699</v>
      </c>
      <c r="C113" s="139" t="s">
        <v>502</v>
      </c>
      <c r="D113" s="139">
        <v>5285</v>
      </c>
      <c r="E113" s="139">
        <v>7930</v>
      </c>
      <c r="F113" s="139">
        <v>5127</v>
      </c>
      <c r="G113" s="139">
        <v>11343</v>
      </c>
      <c r="H113" s="139">
        <v>1583</v>
      </c>
      <c r="I113" s="139">
        <v>2792</v>
      </c>
      <c r="J113" s="139">
        <v>7080</v>
      </c>
      <c r="K113" s="139">
        <v>7061</v>
      </c>
      <c r="L113" s="139">
        <v>1196</v>
      </c>
      <c r="M113" s="139">
        <v>1599</v>
      </c>
      <c r="N113" s="139">
        <v>19228000</v>
      </c>
      <c r="O113" s="139">
        <v>18172000</v>
      </c>
      <c r="P113" s="139">
        <f t="shared" si="3"/>
        <v>7805.75</v>
      </c>
      <c r="Q113" s="139">
        <f t="shared" si="4"/>
        <v>10059.25</v>
      </c>
      <c r="R113" s="139">
        <v>17129</v>
      </c>
      <c r="S113" s="139">
        <f t="shared" si="5"/>
        <v>2455613.4400000004</v>
      </c>
      <c r="U113" s="139" t="s">
        <v>502</v>
      </c>
    </row>
    <row r="114" spans="1:21" x14ac:dyDescent="0.2">
      <c r="A114" s="139" t="s">
        <v>694</v>
      </c>
      <c r="C114" s="139" t="s">
        <v>375</v>
      </c>
      <c r="D114" s="139">
        <v>1969</v>
      </c>
      <c r="E114" s="139">
        <v>1985</v>
      </c>
      <c r="F114" s="139">
        <v>1581</v>
      </c>
      <c r="G114" s="139">
        <v>2801</v>
      </c>
      <c r="H114" s="139">
        <v>1826</v>
      </c>
      <c r="I114" s="139">
        <v>4157</v>
      </c>
      <c r="J114" s="139">
        <v>896</v>
      </c>
      <c r="K114" s="139">
        <v>1634</v>
      </c>
      <c r="L114" s="139">
        <v>421</v>
      </c>
      <c r="M114" s="139">
        <v>2420</v>
      </c>
      <c r="N114" s="139">
        <v>1341000</v>
      </c>
      <c r="O114" s="139">
        <v>1941000</v>
      </c>
      <c r="P114" s="139">
        <f t="shared" si="3"/>
        <v>1679.25</v>
      </c>
      <c r="Q114" s="139">
        <f t="shared" si="4"/>
        <v>2721</v>
      </c>
      <c r="R114" s="139">
        <v>14598</v>
      </c>
      <c r="S114" s="139">
        <f t="shared" si="5"/>
        <v>2092769.2800000003</v>
      </c>
      <c r="U114" s="139" t="s">
        <v>375</v>
      </c>
    </row>
    <row r="115" spans="1:21" x14ac:dyDescent="0.2">
      <c r="A115" s="139" t="s">
        <v>690</v>
      </c>
      <c r="C115" s="139" t="s">
        <v>458</v>
      </c>
      <c r="D115" s="139">
        <v>12713</v>
      </c>
      <c r="E115" s="139">
        <v>12813</v>
      </c>
      <c r="F115" s="139">
        <v>6700</v>
      </c>
      <c r="G115" s="139">
        <v>5602</v>
      </c>
      <c r="H115" s="139">
        <v>7594</v>
      </c>
      <c r="I115" s="139">
        <v>9086</v>
      </c>
      <c r="J115" s="139">
        <v>3572</v>
      </c>
      <c r="K115" s="139">
        <v>4268</v>
      </c>
      <c r="L115" s="139">
        <v>5213</v>
      </c>
      <c r="M115" s="139">
        <v>5008</v>
      </c>
      <c r="N115" s="139">
        <v>6255000</v>
      </c>
      <c r="O115" s="139">
        <v>5391000</v>
      </c>
      <c r="P115" s="139">
        <f t="shared" si="3"/>
        <v>8315.5</v>
      </c>
      <c r="Q115" s="139">
        <f t="shared" si="4"/>
        <v>8223</v>
      </c>
      <c r="R115" s="139">
        <v>26241</v>
      </c>
      <c r="S115" s="139">
        <f t="shared" si="5"/>
        <v>3761909.7600000002</v>
      </c>
      <c r="U115" s="139" t="s">
        <v>458</v>
      </c>
    </row>
    <row r="116" spans="1:21" x14ac:dyDescent="0.2">
      <c r="A116" s="139" t="s">
        <v>694</v>
      </c>
      <c r="C116" s="139" t="s">
        <v>376</v>
      </c>
      <c r="D116" s="139">
        <v>6830</v>
      </c>
      <c r="E116" s="139">
        <v>6576</v>
      </c>
      <c r="F116" s="139">
        <v>8344</v>
      </c>
      <c r="G116" s="139">
        <v>7879</v>
      </c>
      <c r="H116" s="139">
        <v>5819</v>
      </c>
      <c r="I116" s="139">
        <v>6019</v>
      </c>
      <c r="J116" s="139">
        <v>5700</v>
      </c>
      <c r="K116" s="139">
        <v>8649</v>
      </c>
      <c r="L116" s="139">
        <v>5648</v>
      </c>
      <c r="M116" s="139">
        <v>4496</v>
      </c>
      <c r="N116" s="139">
        <v>4773000</v>
      </c>
      <c r="O116" s="139">
        <v>4443000</v>
      </c>
      <c r="P116" s="139">
        <f t="shared" si="3"/>
        <v>6441.5</v>
      </c>
      <c r="Q116" s="139">
        <f t="shared" si="4"/>
        <v>6229.25</v>
      </c>
      <c r="R116" s="139">
        <v>48661</v>
      </c>
      <c r="S116" s="139">
        <f t="shared" si="5"/>
        <v>6976040.9600000009</v>
      </c>
      <c r="U116" s="139" t="s">
        <v>376</v>
      </c>
    </row>
    <row r="117" spans="1:21" x14ac:dyDescent="0.2">
      <c r="A117" s="139" t="s">
        <v>701</v>
      </c>
      <c r="C117" s="139" t="s">
        <v>422</v>
      </c>
      <c r="D117" s="139">
        <v>8727</v>
      </c>
      <c r="E117" s="139">
        <v>7554</v>
      </c>
      <c r="F117" s="139">
        <v>18043</v>
      </c>
      <c r="G117" s="139">
        <v>14801</v>
      </c>
      <c r="H117" s="139">
        <v>7793</v>
      </c>
      <c r="I117" s="139">
        <v>7421</v>
      </c>
      <c r="J117" s="139">
        <v>5486</v>
      </c>
      <c r="K117" s="139">
        <v>4999</v>
      </c>
      <c r="L117" s="139">
        <v>5753</v>
      </c>
      <c r="M117" s="139">
        <v>5469</v>
      </c>
      <c r="N117" s="139">
        <v>10910000</v>
      </c>
      <c r="O117" s="139">
        <v>7350000</v>
      </c>
      <c r="P117" s="139">
        <f t="shared" si="3"/>
        <v>11368.25</v>
      </c>
      <c r="Q117" s="139">
        <f t="shared" si="4"/>
        <v>9281.5</v>
      </c>
      <c r="R117" s="139">
        <v>37256</v>
      </c>
      <c r="S117" s="139">
        <f t="shared" si="5"/>
        <v>5341020.1600000001</v>
      </c>
      <c r="U117" s="139" t="s">
        <v>422</v>
      </c>
    </row>
    <row r="118" spans="1:21" x14ac:dyDescent="0.2">
      <c r="A118" s="139" t="s">
        <v>690</v>
      </c>
      <c r="C118" s="139" t="s">
        <v>459</v>
      </c>
      <c r="D118" s="139">
        <v>10754</v>
      </c>
      <c r="E118" s="139">
        <v>10770</v>
      </c>
      <c r="F118" s="139">
        <v>5927</v>
      </c>
      <c r="G118" s="139">
        <v>6493</v>
      </c>
      <c r="H118" s="139">
        <v>7330</v>
      </c>
      <c r="I118" s="139">
        <v>7523</v>
      </c>
      <c r="J118" s="139">
        <v>5785</v>
      </c>
      <c r="K118" s="139">
        <v>6248</v>
      </c>
      <c r="L118" s="139">
        <v>5360</v>
      </c>
      <c r="M118" s="139">
        <v>5416</v>
      </c>
      <c r="N118" s="139">
        <v>17947000</v>
      </c>
      <c r="O118" s="139">
        <v>17774000</v>
      </c>
      <c r="P118" s="139">
        <f t="shared" si="3"/>
        <v>10489.5</v>
      </c>
      <c r="Q118" s="139">
        <f t="shared" si="4"/>
        <v>10640</v>
      </c>
      <c r="R118" s="139">
        <v>23316</v>
      </c>
      <c r="S118" s="139">
        <f t="shared" si="5"/>
        <v>3342581.7600000002</v>
      </c>
      <c r="U118" s="139" t="s">
        <v>459</v>
      </c>
    </row>
    <row r="119" spans="1:21" x14ac:dyDescent="0.2">
      <c r="A119" s="139" t="s">
        <v>691</v>
      </c>
      <c r="C119" s="139" t="s">
        <v>637</v>
      </c>
      <c r="D119" s="139">
        <v>4488</v>
      </c>
      <c r="E119" s="139">
        <v>2388</v>
      </c>
      <c r="F119" s="139">
        <v>23224</v>
      </c>
      <c r="G119" s="139">
        <v>23821</v>
      </c>
      <c r="H119" s="139">
        <v>5836</v>
      </c>
      <c r="I119" s="139">
        <v>6962</v>
      </c>
      <c r="J119" s="139">
        <v>9769</v>
      </c>
      <c r="K119" s="139">
        <v>3930</v>
      </c>
      <c r="L119" s="139">
        <v>8354</v>
      </c>
      <c r="M119" s="139">
        <v>3897</v>
      </c>
      <c r="N119" s="139">
        <v>8635000</v>
      </c>
      <c r="O119" s="139">
        <v>6966000</v>
      </c>
      <c r="P119" s="139">
        <f t="shared" si="3"/>
        <v>10545.75</v>
      </c>
      <c r="Q119" s="139">
        <f t="shared" si="4"/>
        <v>10034.25</v>
      </c>
      <c r="R119" s="139">
        <v>56973</v>
      </c>
      <c r="S119" s="139">
        <f t="shared" si="5"/>
        <v>8167649.2800000012</v>
      </c>
      <c r="U119" s="139" t="s">
        <v>637</v>
      </c>
    </row>
    <row r="120" spans="1:21" x14ac:dyDescent="0.2">
      <c r="A120" s="139" t="s">
        <v>694</v>
      </c>
      <c r="C120" s="139" t="s">
        <v>377</v>
      </c>
      <c r="D120" s="139">
        <v>34563</v>
      </c>
      <c r="E120" s="139">
        <v>35696</v>
      </c>
      <c r="F120" s="139">
        <v>105255</v>
      </c>
      <c r="G120" s="139">
        <v>115324</v>
      </c>
      <c r="H120" s="139">
        <v>41115</v>
      </c>
      <c r="I120" s="139">
        <v>54280</v>
      </c>
      <c r="J120" s="139">
        <v>20926</v>
      </c>
      <c r="K120" s="139">
        <v>25136</v>
      </c>
      <c r="L120" s="139">
        <v>46107</v>
      </c>
      <c r="M120" s="139">
        <v>44677</v>
      </c>
      <c r="N120" s="139">
        <v>16886000</v>
      </c>
      <c r="O120" s="139">
        <v>19488000</v>
      </c>
      <c r="P120" s="139">
        <f t="shared" si="3"/>
        <v>49454.75</v>
      </c>
      <c r="Q120" s="139">
        <f t="shared" si="4"/>
        <v>56197</v>
      </c>
      <c r="R120" s="139">
        <v>35745</v>
      </c>
      <c r="S120" s="139">
        <f t="shared" si="5"/>
        <v>5124403.2000000002</v>
      </c>
      <c r="U120" s="139" t="s">
        <v>377</v>
      </c>
    </row>
    <row r="121" spans="1:21" x14ac:dyDescent="0.2">
      <c r="A121" s="139" t="s">
        <v>694</v>
      </c>
      <c r="C121" s="139" t="s">
        <v>378</v>
      </c>
      <c r="D121" s="139">
        <v>17570</v>
      </c>
      <c r="E121" s="139">
        <v>21893</v>
      </c>
      <c r="F121" s="139">
        <v>57171</v>
      </c>
      <c r="G121" s="139">
        <v>68048</v>
      </c>
      <c r="H121" s="139">
        <v>26633</v>
      </c>
      <c r="I121" s="139">
        <v>29227</v>
      </c>
      <c r="J121" s="139">
        <v>6028</v>
      </c>
      <c r="K121" s="139">
        <v>6580</v>
      </c>
      <c r="L121" s="139">
        <v>6250</v>
      </c>
      <c r="M121" s="139">
        <v>7386</v>
      </c>
      <c r="N121" s="139">
        <v>33908000</v>
      </c>
      <c r="O121" s="139">
        <v>29961000</v>
      </c>
      <c r="P121" s="139">
        <f t="shared" si="3"/>
        <v>33820.5</v>
      </c>
      <c r="Q121" s="139">
        <f t="shared" si="4"/>
        <v>37282.25</v>
      </c>
      <c r="R121" s="139">
        <v>71757</v>
      </c>
      <c r="S121" s="139">
        <f t="shared" si="5"/>
        <v>10287083.520000001</v>
      </c>
      <c r="U121" s="139" t="s">
        <v>378</v>
      </c>
    </row>
    <row r="122" spans="1:21" x14ac:dyDescent="0.2">
      <c r="A122" s="139" t="s">
        <v>690</v>
      </c>
      <c r="C122" s="139" t="s">
        <v>460</v>
      </c>
      <c r="D122" s="139">
        <v>4122</v>
      </c>
      <c r="E122" s="139">
        <v>6437</v>
      </c>
      <c r="F122" s="139">
        <v>12502</v>
      </c>
      <c r="G122" s="139">
        <v>14030</v>
      </c>
      <c r="H122" s="139">
        <v>2116</v>
      </c>
      <c r="I122" s="139">
        <v>2234</v>
      </c>
      <c r="J122" s="139">
        <v>973</v>
      </c>
      <c r="K122" s="139">
        <v>888</v>
      </c>
      <c r="L122" s="139">
        <v>140</v>
      </c>
      <c r="M122" s="139">
        <v>1</v>
      </c>
      <c r="N122" s="139">
        <v>0</v>
      </c>
      <c r="O122" s="139">
        <v>41000</v>
      </c>
      <c r="P122" s="139">
        <f t="shared" si="3"/>
        <v>4685</v>
      </c>
      <c r="Q122" s="139">
        <f t="shared" si="4"/>
        <v>5685.5</v>
      </c>
      <c r="R122" s="139">
        <v>12381</v>
      </c>
      <c r="S122" s="139">
        <f t="shared" si="5"/>
        <v>1774940.1600000001</v>
      </c>
      <c r="U122" s="139" t="s">
        <v>460</v>
      </c>
    </row>
    <row r="123" spans="1:21" x14ac:dyDescent="0.2">
      <c r="A123" s="139" t="s">
        <v>698</v>
      </c>
      <c r="C123" s="139" t="s">
        <v>180</v>
      </c>
      <c r="D123" s="139">
        <v>13748</v>
      </c>
      <c r="E123" s="139">
        <v>55031</v>
      </c>
      <c r="F123" s="139">
        <v>3700</v>
      </c>
      <c r="G123" s="139">
        <v>1070</v>
      </c>
      <c r="H123" s="139">
        <v>10112</v>
      </c>
      <c r="I123" s="139">
        <v>36757</v>
      </c>
      <c r="J123" s="139">
        <v>17523</v>
      </c>
      <c r="K123" s="139">
        <v>35469</v>
      </c>
      <c r="L123" s="139">
        <v>56792</v>
      </c>
      <c r="M123" s="139">
        <v>20956</v>
      </c>
      <c r="N123" s="139">
        <v>34736000</v>
      </c>
      <c r="O123" s="139">
        <v>11153000</v>
      </c>
      <c r="P123" s="139">
        <f t="shared" si="3"/>
        <v>15574</v>
      </c>
      <c r="Q123" s="139">
        <f t="shared" si="4"/>
        <v>26002.75</v>
      </c>
      <c r="R123" s="139">
        <v>201535</v>
      </c>
      <c r="S123" s="139">
        <f t="shared" si="5"/>
        <v>28892057.600000001</v>
      </c>
      <c r="U123" s="139" t="s">
        <v>180</v>
      </c>
    </row>
    <row r="124" spans="1:21" x14ac:dyDescent="0.2">
      <c r="A124" s="139" t="s">
        <v>698</v>
      </c>
      <c r="C124" s="139" t="s">
        <v>181</v>
      </c>
      <c r="D124" s="139">
        <v>3825</v>
      </c>
      <c r="E124" s="139">
        <v>3770</v>
      </c>
      <c r="F124" s="139">
        <v>1708</v>
      </c>
      <c r="G124" s="139">
        <v>3012</v>
      </c>
      <c r="H124" s="139">
        <v>2047</v>
      </c>
      <c r="I124" s="139">
        <v>1407</v>
      </c>
      <c r="J124" s="139">
        <v>688</v>
      </c>
      <c r="K124" s="139">
        <v>439</v>
      </c>
      <c r="L124" s="139">
        <v>755</v>
      </c>
      <c r="M124" s="139">
        <v>605</v>
      </c>
      <c r="N124" s="139">
        <v>730000</v>
      </c>
      <c r="O124" s="139">
        <v>585000</v>
      </c>
      <c r="P124" s="139">
        <f t="shared" si="3"/>
        <v>2077.5</v>
      </c>
      <c r="Q124" s="139">
        <f t="shared" si="4"/>
        <v>2193.5</v>
      </c>
      <c r="R124" s="139">
        <v>12166</v>
      </c>
      <c r="S124" s="139">
        <f t="shared" si="5"/>
        <v>1744117.7600000002</v>
      </c>
      <c r="U124" s="139" t="s">
        <v>181</v>
      </c>
    </row>
    <row r="125" spans="1:21" x14ac:dyDescent="0.2">
      <c r="A125" s="139" t="s">
        <v>699</v>
      </c>
      <c r="C125" s="139" t="s">
        <v>503</v>
      </c>
      <c r="D125" s="139">
        <v>725</v>
      </c>
      <c r="E125" s="139">
        <v>1243</v>
      </c>
      <c r="F125" s="139">
        <v>1736</v>
      </c>
      <c r="G125" s="139">
        <v>957</v>
      </c>
      <c r="H125" s="139">
        <v>276</v>
      </c>
      <c r="I125" s="139">
        <v>1876</v>
      </c>
      <c r="J125" s="139">
        <v>564</v>
      </c>
      <c r="K125" s="139">
        <v>51</v>
      </c>
      <c r="L125" s="139">
        <v>154</v>
      </c>
      <c r="M125" s="139">
        <v>334</v>
      </c>
      <c r="N125" s="139">
        <v>899000</v>
      </c>
      <c r="O125" s="139">
        <v>372000</v>
      </c>
      <c r="P125" s="139">
        <f t="shared" si="3"/>
        <v>909</v>
      </c>
      <c r="Q125" s="139">
        <f t="shared" si="4"/>
        <v>1112</v>
      </c>
      <c r="R125" s="139">
        <v>14329</v>
      </c>
      <c r="S125" s="139">
        <f t="shared" si="5"/>
        <v>2054205.4400000002</v>
      </c>
      <c r="U125" s="139" t="s">
        <v>503</v>
      </c>
    </row>
    <row r="126" spans="1:21" x14ac:dyDescent="0.2">
      <c r="A126" s="139" t="s">
        <v>695</v>
      </c>
      <c r="C126" s="139" t="s">
        <v>223</v>
      </c>
      <c r="D126" s="139">
        <v>2005</v>
      </c>
      <c r="E126" s="139">
        <v>13321</v>
      </c>
      <c r="F126" s="139">
        <v>1028</v>
      </c>
      <c r="G126" s="139">
        <v>5526</v>
      </c>
      <c r="H126" s="139">
        <v>1648</v>
      </c>
      <c r="I126" s="139">
        <v>1478</v>
      </c>
      <c r="J126" s="139">
        <v>1527</v>
      </c>
      <c r="K126" s="139">
        <v>1559</v>
      </c>
      <c r="L126" s="139">
        <v>1813</v>
      </c>
      <c r="M126" s="139">
        <v>1842</v>
      </c>
      <c r="N126" s="139">
        <v>2711000</v>
      </c>
      <c r="O126" s="139">
        <v>3450000</v>
      </c>
      <c r="P126" s="139">
        <f t="shared" si="3"/>
        <v>1848</v>
      </c>
      <c r="Q126" s="139">
        <f t="shared" si="4"/>
        <v>5943.75</v>
      </c>
      <c r="R126" s="139">
        <v>24271</v>
      </c>
      <c r="S126" s="139">
        <f t="shared" si="5"/>
        <v>3479490.5600000005</v>
      </c>
      <c r="U126" s="139" t="s">
        <v>223</v>
      </c>
    </row>
    <row r="127" spans="1:21" x14ac:dyDescent="0.2">
      <c r="A127" s="139" t="s">
        <v>690</v>
      </c>
      <c r="C127" s="139" t="s">
        <v>461</v>
      </c>
      <c r="D127" s="139">
        <v>4054</v>
      </c>
      <c r="E127" s="139">
        <v>7039</v>
      </c>
      <c r="F127" s="139">
        <v>5687</v>
      </c>
      <c r="G127" s="139">
        <v>5999</v>
      </c>
      <c r="H127" s="139">
        <v>5494</v>
      </c>
      <c r="I127" s="139">
        <v>5609</v>
      </c>
      <c r="J127" s="139">
        <v>2267</v>
      </c>
      <c r="K127" s="139">
        <v>2430</v>
      </c>
      <c r="L127" s="139">
        <v>3847</v>
      </c>
      <c r="M127" s="139">
        <v>2308</v>
      </c>
      <c r="N127" s="139">
        <v>2854000</v>
      </c>
      <c r="O127" s="139">
        <v>2594000</v>
      </c>
      <c r="P127" s="139">
        <f t="shared" si="3"/>
        <v>4522.25</v>
      </c>
      <c r="Q127" s="139">
        <f t="shared" si="4"/>
        <v>5310.25</v>
      </c>
      <c r="R127" s="139">
        <v>13907</v>
      </c>
      <c r="S127" s="139">
        <f t="shared" si="5"/>
        <v>1993707.5200000003</v>
      </c>
      <c r="U127" s="139" t="s">
        <v>461</v>
      </c>
    </row>
    <row r="128" spans="1:21" x14ac:dyDescent="0.2">
      <c r="A128" s="139" t="s">
        <v>691</v>
      </c>
      <c r="C128" s="139" t="s">
        <v>333</v>
      </c>
      <c r="D128" s="139">
        <v>22096</v>
      </c>
      <c r="E128" s="139">
        <v>22444</v>
      </c>
      <c r="F128" s="139">
        <v>32899</v>
      </c>
      <c r="G128" s="139">
        <v>36777</v>
      </c>
      <c r="H128" s="139">
        <v>31278</v>
      </c>
      <c r="I128" s="139">
        <v>33453</v>
      </c>
      <c r="J128" s="139">
        <v>21097</v>
      </c>
      <c r="K128" s="139">
        <v>23736</v>
      </c>
      <c r="L128" s="139">
        <v>12777</v>
      </c>
      <c r="M128" s="139">
        <v>13659</v>
      </c>
      <c r="N128" s="139">
        <v>9860897</v>
      </c>
      <c r="O128" s="139">
        <v>8257847</v>
      </c>
      <c r="P128" s="139">
        <f t="shared" si="3"/>
        <v>24033.474249999999</v>
      </c>
      <c r="Q128" s="139">
        <f t="shared" si="4"/>
        <v>25232.961749999999</v>
      </c>
      <c r="R128" s="139">
        <v>159234</v>
      </c>
      <c r="S128" s="139">
        <f t="shared" si="5"/>
        <v>22827786.240000002</v>
      </c>
      <c r="U128" s="139" t="s">
        <v>333</v>
      </c>
    </row>
    <row r="129" spans="1:21" x14ac:dyDescent="0.2">
      <c r="A129" s="139" t="s">
        <v>691</v>
      </c>
      <c r="C129" s="139" t="s">
        <v>539</v>
      </c>
      <c r="D129" s="139">
        <v>106</v>
      </c>
      <c r="E129" s="139">
        <v>618</v>
      </c>
      <c r="F129" s="139">
        <v>1199</v>
      </c>
      <c r="G129" s="139">
        <v>680</v>
      </c>
      <c r="H129" s="139">
        <v>174</v>
      </c>
      <c r="I129" s="139">
        <v>870</v>
      </c>
      <c r="J129" s="139">
        <v>475</v>
      </c>
      <c r="K129" s="139">
        <v>587</v>
      </c>
      <c r="L129" s="139">
        <v>174</v>
      </c>
      <c r="M129" s="139">
        <v>365</v>
      </c>
      <c r="N129" s="139">
        <v>171000</v>
      </c>
      <c r="O129" s="139">
        <v>360000</v>
      </c>
      <c r="P129" s="139">
        <f t="shared" si="3"/>
        <v>412.5</v>
      </c>
      <c r="Q129" s="139">
        <f t="shared" si="4"/>
        <v>632</v>
      </c>
      <c r="R129" s="139">
        <v>5666</v>
      </c>
      <c r="S129" s="139">
        <f t="shared" si="5"/>
        <v>812277.76000000013</v>
      </c>
      <c r="U129" s="139" t="s">
        <v>539</v>
      </c>
    </row>
    <row r="130" spans="1:21" x14ac:dyDescent="0.2">
      <c r="A130" s="139" t="s">
        <v>691</v>
      </c>
      <c r="C130" s="139" t="s">
        <v>334</v>
      </c>
      <c r="D130" s="139">
        <v>116650</v>
      </c>
      <c r="E130" s="139">
        <v>87946</v>
      </c>
      <c r="F130" s="139">
        <v>86119</v>
      </c>
      <c r="G130" s="139">
        <v>64508</v>
      </c>
      <c r="H130" s="139">
        <v>75219</v>
      </c>
      <c r="I130" s="139">
        <v>101200</v>
      </c>
      <c r="J130" s="139">
        <v>61725</v>
      </c>
      <c r="K130" s="139">
        <v>59986</v>
      </c>
      <c r="L130" s="139">
        <v>36900</v>
      </c>
      <c r="M130" s="139">
        <v>41506</v>
      </c>
      <c r="N130" s="139">
        <v>50162000</v>
      </c>
      <c r="O130" s="139">
        <v>43057000</v>
      </c>
      <c r="P130" s="139">
        <f t="shared" si="3"/>
        <v>82037.5</v>
      </c>
      <c r="Q130" s="139">
        <f t="shared" si="4"/>
        <v>74177.75</v>
      </c>
      <c r="R130" s="139">
        <v>145989</v>
      </c>
      <c r="S130" s="139">
        <f t="shared" si="5"/>
        <v>20928983.040000003</v>
      </c>
      <c r="U130" s="139" t="s">
        <v>334</v>
      </c>
    </row>
    <row r="131" spans="1:21" x14ac:dyDescent="0.2">
      <c r="A131" s="139" t="s">
        <v>690</v>
      </c>
      <c r="C131" s="139" t="s">
        <v>462</v>
      </c>
      <c r="D131" s="139">
        <v>29164</v>
      </c>
      <c r="E131" s="139">
        <v>36478</v>
      </c>
      <c r="F131" s="139">
        <v>30056</v>
      </c>
      <c r="G131" s="139">
        <v>39463</v>
      </c>
      <c r="H131" s="139">
        <v>36683</v>
      </c>
      <c r="I131" s="139">
        <v>40740</v>
      </c>
      <c r="J131" s="139">
        <v>29030</v>
      </c>
      <c r="K131" s="139">
        <v>30687</v>
      </c>
      <c r="L131" s="139">
        <v>24134</v>
      </c>
      <c r="M131" s="139">
        <v>23900</v>
      </c>
      <c r="N131" s="139">
        <v>8317000</v>
      </c>
      <c r="O131" s="139">
        <v>8688000</v>
      </c>
      <c r="P131" s="139">
        <f t="shared" ref="P131:P194" si="6">SUM(D131,F131,H131,N131/1000)/4</f>
        <v>26055</v>
      </c>
      <c r="Q131" s="139">
        <f t="shared" ref="Q131:Q194" si="7">SUM(E131,G131,I131,O131/1000)/4</f>
        <v>31342.25</v>
      </c>
      <c r="R131" s="139">
        <v>29581</v>
      </c>
      <c r="S131" s="139">
        <f t="shared" ref="S131:S194" si="8">R131*143.36</f>
        <v>4240732.1600000001</v>
      </c>
      <c r="U131" s="139" t="s">
        <v>462</v>
      </c>
    </row>
    <row r="132" spans="1:21" x14ac:dyDescent="0.2">
      <c r="A132" s="139" t="s">
        <v>695</v>
      </c>
      <c r="C132" s="139" t="s">
        <v>224</v>
      </c>
      <c r="D132" s="139">
        <v>20419</v>
      </c>
      <c r="E132" s="139">
        <v>26293</v>
      </c>
      <c r="F132" s="139">
        <v>20210</v>
      </c>
      <c r="G132" s="139">
        <v>30194</v>
      </c>
      <c r="H132" s="139">
        <v>29731</v>
      </c>
      <c r="I132" s="139">
        <v>40858</v>
      </c>
      <c r="J132" s="139">
        <v>23371</v>
      </c>
      <c r="K132" s="139">
        <v>23950</v>
      </c>
      <c r="L132" s="139">
        <v>9947</v>
      </c>
      <c r="M132" s="139">
        <v>11136</v>
      </c>
      <c r="N132" s="139">
        <v>6995000</v>
      </c>
      <c r="O132" s="139">
        <v>7228000</v>
      </c>
      <c r="P132" s="139">
        <f t="shared" si="6"/>
        <v>19338.75</v>
      </c>
      <c r="Q132" s="139">
        <f t="shared" si="7"/>
        <v>26143.25</v>
      </c>
      <c r="R132" s="139">
        <v>60196</v>
      </c>
      <c r="S132" s="139">
        <f t="shared" si="8"/>
        <v>8629698.5600000005</v>
      </c>
      <c r="U132" s="139" t="s">
        <v>224</v>
      </c>
    </row>
    <row r="133" spans="1:21" x14ac:dyDescent="0.2">
      <c r="A133" s="139" t="s">
        <v>692</v>
      </c>
      <c r="C133" s="139" t="s">
        <v>260</v>
      </c>
      <c r="D133" s="139">
        <v>24483</v>
      </c>
      <c r="E133" s="139">
        <v>55774</v>
      </c>
      <c r="F133" s="139">
        <v>44881</v>
      </c>
      <c r="G133" s="139">
        <v>45442</v>
      </c>
      <c r="H133" s="139">
        <v>31527</v>
      </c>
      <c r="I133" s="139">
        <v>32142</v>
      </c>
      <c r="J133" s="139">
        <v>25864</v>
      </c>
      <c r="K133" s="139">
        <v>30869</v>
      </c>
      <c r="L133" s="139">
        <v>31972</v>
      </c>
      <c r="M133" s="139">
        <v>25647</v>
      </c>
      <c r="N133" s="139">
        <v>52097000</v>
      </c>
      <c r="O133" s="139">
        <v>41272000</v>
      </c>
      <c r="P133" s="139">
        <f t="shared" si="6"/>
        <v>38247</v>
      </c>
      <c r="Q133" s="139">
        <f t="shared" si="7"/>
        <v>43657.5</v>
      </c>
      <c r="R133" s="139">
        <v>46358</v>
      </c>
      <c r="S133" s="139">
        <f t="shared" si="8"/>
        <v>6645882.8800000008</v>
      </c>
      <c r="U133" s="139" t="s">
        <v>260</v>
      </c>
    </row>
    <row r="134" spans="1:21" x14ac:dyDescent="0.2">
      <c r="A134" s="139" t="s">
        <v>694</v>
      </c>
      <c r="C134" s="139" t="s">
        <v>379</v>
      </c>
      <c r="D134" s="139">
        <v>3257</v>
      </c>
      <c r="E134" s="139">
        <v>3258</v>
      </c>
      <c r="F134" s="139">
        <v>1634</v>
      </c>
      <c r="G134" s="139">
        <v>1665</v>
      </c>
      <c r="H134" s="139">
        <v>2270</v>
      </c>
      <c r="I134" s="139">
        <v>2870</v>
      </c>
      <c r="J134" s="139">
        <v>4347</v>
      </c>
      <c r="K134" s="139">
        <v>5567</v>
      </c>
      <c r="L134" s="139">
        <v>5055</v>
      </c>
      <c r="M134" s="139">
        <v>5420</v>
      </c>
      <c r="N134" s="139">
        <v>7472000</v>
      </c>
      <c r="O134" s="139">
        <v>5472000</v>
      </c>
      <c r="P134" s="139">
        <f t="shared" si="6"/>
        <v>3658.25</v>
      </c>
      <c r="Q134" s="139">
        <f t="shared" si="7"/>
        <v>3316.25</v>
      </c>
      <c r="R134" s="139">
        <v>17866</v>
      </c>
      <c r="S134" s="139">
        <f t="shared" si="8"/>
        <v>2561269.7600000002</v>
      </c>
      <c r="U134" s="139" t="s">
        <v>379</v>
      </c>
    </row>
    <row r="135" spans="1:21" x14ac:dyDescent="0.2">
      <c r="A135" s="139" t="s">
        <v>698</v>
      </c>
      <c r="C135" s="139" t="s">
        <v>182</v>
      </c>
      <c r="D135" s="139">
        <v>5653</v>
      </c>
      <c r="E135" s="139">
        <v>5228</v>
      </c>
      <c r="F135" s="139">
        <v>1042</v>
      </c>
      <c r="G135" s="139">
        <v>1511</v>
      </c>
      <c r="H135" s="139">
        <v>3336</v>
      </c>
      <c r="I135" s="139">
        <v>3460</v>
      </c>
      <c r="J135" s="139">
        <v>2247</v>
      </c>
      <c r="K135" s="139">
        <v>2434</v>
      </c>
      <c r="L135" s="139">
        <v>2850</v>
      </c>
      <c r="M135" s="139">
        <v>2819</v>
      </c>
      <c r="N135" s="139">
        <v>13830000</v>
      </c>
      <c r="O135" s="139">
        <v>13830000</v>
      </c>
      <c r="P135" s="139">
        <f t="shared" si="6"/>
        <v>5965.25</v>
      </c>
      <c r="Q135" s="139">
        <f t="shared" si="7"/>
        <v>6007.25</v>
      </c>
      <c r="R135" s="139">
        <v>19581</v>
      </c>
      <c r="S135" s="139">
        <f t="shared" si="8"/>
        <v>2807132.1600000001</v>
      </c>
      <c r="U135" s="139" t="s">
        <v>182</v>
      </c>
    </row>
    <row r="136" spans="1:21" x14ac:dyDescent="0.2">
      <c r="A136" s="139" t="s">
        <v>693</v>
      </c>
      <c r="C136" s="139" t="s">
        <v>203</v>
      </c>
      <c r="D136" s="139">
        <v>917</v>
      </c>
      <c r="E136" s="139">
        <v>3203</v>
      </c>
      <c r="F136" s="139">
        <v>5695</v>
      </c>
      <c r="G136" s="139">
        <v>12065</v>
      </c>
      <c r="H136" s="139">
        <v>200</v>
      </c>
      <c r="I136" s="139">
        <v>522</v>
      </c>
      <c r="J136" s="139">
        <v>415</v>
      </c>
      <c r="K136" s="139">
        <v>515</v>
      </c>
      <c r="L136" s="139">
        <v>449</v>
      </c>
      <c r="M136" s="139">
        <v>782</v>
      </c>
      <c r="N136" s="139">
        <v>1041000</v>
      </c>
      <c r="O136" s="139">
        <v>830000</v>
      </c>
      <c r="P136" s="139">
        <f t="shared" si="6"/>
        <v>1963.25</v>
      </c>
      <c r="Q136" s="139">
        <f t="shared" si="7"/>
        <v>4155</v>
      </c>
      <c r="R136" s="139">
        <v>15864</v>
      </c>
      <c r="S136" s="139">
        <f t="shared" si="8"/>
        <v>2274263.04</v>
      </c>
      <c r="U136" s="139" t="s">
        <v>203</v>
      </c>
    </row>
    <row r="137" spans="1:21" x14ac:dyDescent="0.2">
      <c r="A137" s="139" t="s">
        <v>695</v>
      </c>
      <c r="C137" s="139" t="s">
        <v>261</v>
      </c>
      <c r="D137" s="139">
        <v>3098</v>
      </c>
      <c r="E137" s="139">
        <v>3134</v>
      </c>
      <c r="F137" s="139">
        <v>6142</v>
      </c>
      <c r="G137" s="139">
        <v>6153</v>
      </c>
      <c r="H137" s="139">
        <v>2590</v>
      </c>
      <c r="I137" s="139">
        <v>2699</v>
      </c>
      <c r="J137" s="139">
        <v>1988</v>
      </c>
      <c r="K137" s="139">
        <v>2003</v>
      </c>
      <c r="L137" s="139">
        <v>4265</v>
      </c>
      <c r="M137" s="139">
        <v>5074</v>
      </c>
      <c r="N137" s="139">
        <v>6083000</v>
      </c>
      <c r="O137" s="139">
        <v>6112000</v>
      </c>
      <c r="P137" s="139">
        <f t="shared" si="6"/>
        <v>4478.25</v>
      </c>
      <c r="Q137" s="139">
        <f t="shared" si="7"/>
        <v>4524.5</v>
      </c>
      <c r="R137" s="139">
        <v>12036</v>
      </c>
      <c r="S137" s="139">
        <f t="shared" si="8"/>
        <v>1725480.9600000002</v>
      </c>
      <c r="U137" s="139" t="s">
        <v>261</v>
      </c>
    </row>
    <row r="138" spans="1:21" x14ac:dyDescent="0.2">
      <c r="A138" s="139" t="s">
        <v>691</v>
      </c>
      <c r="C138" s="139" t="s">
        <v>335</v>
      </c>
      <c r="D138" s="139">
        <v>11882</v>
      </c>
      <c r="E138" s="139">
        <v>7035</v>
      </c>
      <c r="F138" s="139">
        <v>10043</v>
      </c>
      <c r="G138" s="139">
        <v>7044</v>
      </c>
      <c r="H138" s="139">
        <v>4575</v>
      </c>
      <c r="I138" s="139">
        <v>4906</v>
      </c>
      <c r="J138" s="139">
        <v>2985</v>
      </c>
      <c r="K138" s="139">
        <v>2664</v>
      </c>
      <c r="L138" s="139">
        <v>7648</v>
      </c>
      <c r="M138" s="139">
        <v>4878</v>
      </c>
      <c r="N138" s="139">
        <v>5064000</v>
      </c>
      <c r="O138" s="139">
        <v>2191000</v>
      </c>
      <c r="P138" s="139">
        <f t="shared" si="6"/>
        <v>7891</v>
      </c>
      <c r="Q138" s="139">
        <f t="shared" si="7"/>
        <v>5294</v>
      </c>
      <c r="R138" s="139">
        <v>39171</v>
      </c>
      <c r="S138" s="139">
        <f t="shared" si="8"/>
        <v>5615554.5600000005</v>
      </c>
      <c r="U138" s="139" t="s">
        <v>335</v>
      </c>
    </row>
    <row r="139" spans="1:21" x14ac:dyDescent="0.2">
      <c r="A139" s="139" t="s">
        <v>691</v>
      </c>
      <c r="C139" s="139" t="s">
        <v>336</v>
      </c>
      <c r="D139" s="139">
        <v>0</v>
      </c>
      <c r="E139" s="139">
        <v>0</v>
      </c>
      <c r="F139" s="139">
        <v>0</v>
      </c>
      <c r="G139" s="139">
        <v>0</v>
      </c>
      <c r="H139" s="139">
        <v>0</v>
      </c>
      <c r="I139" s="139">
        <v>0</v>
      </c>
      <c r="J139" s="139">
        <v>0</v>
      </c>
      <c r="K139" s="139">
        <v>0</v>
      </c>
      <c r="L139" s="139">
        <v>0</v>
      </c>
      <c r="M139" s="139">
        <v>0</v>
      </c>
      <c r="N139" s="139">
        <v>0</v>
      </c>
      <c r="O139" s="139">
        <v>0</v>
      </c>
      <c r="P139" s="139">
        <f t="shared" si="6"/>
        <v>0</v>
      </c>
      <c r="Q139" s="139">
        <f t="shared" si="7"/>
        <v>0</v>
      </c>
      <c r="R139" s="139">
        <v>26920</v>
      </c>
      <c r="S139" s="139">
        <f t="shared" si="8"/>
        <v>3859251.2000000002</v>
      </c>
      <c r="U139" s="139" t="s">
        <v>336</v>
      </c>
    </row>
    <row r="140" spans="1:21" x14ac:dyDescent="0.2">
      <c r="A140" s="139" t="s">
        <v>692</v>
      </c>
      <c r="C140" s="139" t="s">
        <v>262</v>
      </c>
      <c r="D140" s="139">
        <v>2094</v>
      </c>
      <c r="E140" s="139">
        <v>1925</v>
      </c>
      <c r="F140" s="139">
        <v>7124</v>
      </c>
      <c r="G140" s="139">
        <v>7686</v>
      </c>
      <c r="H140" s="139">
        <v>3146</v>
      </c>
      <c r="I140" s="139">
        <v>5612</v>
      </c>
      <c r="J140" s="139">
        <v>2574</v>
      </c>
      <c r="K140" s="139">
        <v>2882</v>
      </c>
      <c r="L140" s="139">
        <v>2830</v>
      </c>
      <c r="M140" s="139">
        <v>2821</v>
      </c>
      <c r="N140" s="139">
        <v>2125000</v>
      </c>
      <c r="O140" s="139">
        <v>2429000</v>
      </c>
      <c r="P140" s="139">
        <f t="shared" si="6"/>
        <v>3622.25</v>
      </c>
      <c r="Q140" s="139">
        <f t="shared" si="7"/>
        <v>4413</v>
      </c>
      <c r="R140" s="139">
        <v>18563</v>
      </c>
      <c r="S140" s="139">
        <f t="shared" si="8"/>
        <v>2661191.6800000002</v>
      </c>
      <c r="U140" s="139" t="s">
        <v>262</v>
      </c>
    </row>
    <row r="141" spans="1:21" x14ac:dyDescent="0.2">
      <c r="A141" s="139" t="s">
        <v>693</v>
      </c>
      <c r="C141" s="139" t="s">
        <v>204</v>
      </c>
      <c r="D141" s="139">
        <v>15860.827969210106</v>
      </c>
      <c r="E141" s="139">
        <v>20465.720307898951</v>
      </c>
      <c r="F141" s="139">
        <v>15253.851985559566</v>
      </c>
      <c r="G141" s="139">
        <v>87947.934296028878</v>
      </c>
      <c r="H141" s="139">
        <v>601.18566271273858</v>
      </c>
      <c r="I141" s="139">
        <v>3874.3289324394018</v>
      </c>
      <c r="J141" s="139">
        <v>14554.033831872099</v>
      </c>
      <c r="K141" s="139">
        <v>17936.217947395566</v>
      </c>
      <c r="L141" s="139">
        <v>6876</v>
      </c>
      <c r="M141" s="139">
        <v>13997</v>
      </c>
      <c r="N141" s="139">
        <v>13638000</v>
      </c>
      <c r="O141" s="139">
        <v>16901000</v>
      </c>
      <c r="P141" s="139">
        <f t="shared" si="6"/>
        <v>11338.466404370603</v>
      </c>
      <c r="Q141" s="139">
        <f t="shared" si="7"/>
        <v>32297.245884091808</v>
      </c>
      <c r="R141" s="139">
        <v>50201</v>
      </c>
      <c r="S141" s="139">
        <f t="shared" si="8"/>
        <v>7196815.3600000003</v>
      </c>
      <c r="U141" s="139" t="s">
        <v>204</v>
      </c>
    </row>
    <row r="142" spans="1:21" x14ac:dyDescent="0.2">
      <c r="A142" s="139" t="s">
        <v>691</v>
      </c>
      <c r="C142" s="139" t="s">
        <v>337</v>
      </c>
      <c r="D142" s="139">
        <v>49907</v>
      </c>
      <c r="E142" s="139">
        <v>55493</v>
      </c>
      <c r="F142" s="139">
        <v>42231</v>
      </c>
      <c r="G142" s="139">
        <v>45094</v>
      </c>
      <c r="H142" s="139">
        <v>21888</v>
      </c>
      <c r="I142" s="139">
        <v>22920</v>
      </c>
      <c r="J142" s="139">
        <v>33869</v>
      </c>
      <c r="K142" s="139">
        <v>45843</v>
      </c>
      <c r="L142" s="139">
        <v>18490</v>
      </c>
      <c r="M142" s="139">
        <v>20128</v>
      </c>
      <c r="N142" s="139">
        <v>25758000</v>
      </c>
      <c r="O142" s="139">
        <v>21444000</v>
      </c>
      <c r="P142" s="139">
        <f t="shared" si="6"/>
        <v>34946</v>
      </c>
      <c r="Q142" s="139">
        <f t="shared" si="7"/>
        <v>36237.75</v>
      </c>
      <c r="R142" s="139">
        <v>54937</v>
      </c>
      <c r="S142" s="139">
        <f t="shared" si="8"/>
        <v>7875768.3200000003</v>
      </c>
      <c r="U142" s="139" t="s">
        <v>337</v>
      </c>
    </row>
    <row r="143" spans="1:21" x14ac:dyDescent="0.2">
      <c r="A143" s="139" t="s">
        <v>699</v>
      </c>
      <c r="C143" s="139" t="s">
        <v>504</v>
      </c>
      <c r="D143" s="139">
        <v>15659</v>
      </c>
      <c r="E143" s="139">
        <v>18351</v>
      </c>
      <c r="F143" s="139">
        <v>20391</v>
      </c>
      <c r="G143" s="139">
        <v>20918</v>
      </c>
      <c r="H143" s="139">
        <v>13725</v>
      </c>
      <c r="I143" s="139">
        <v>13055</v>
      </c>
      <c r="J143" s="139">
        <v>11221</v>
      </c>
      <c r="K143" s="139">
        <v>10770</v>
      </c>
      <c r="L143" s="139">
        <v>16342</v>
      </c>
      <c r="M143" s="139">
        <v>16358</v>
      </c>
      <c r="N143" s="139">
        <v>5290000</v>
      </c>
      <c r="O143" s="139">
        <v>5463000</v>
      </c>
      <c r="P143" s="139">
        <f t="shared" si="6"/>
        <v>13766.25</v>
      </c>
      <c r="Q143" s="139">
        <f t="shared" si="7"/>
        <v>14446.75</v>
      </c>
      <c r="R143" s="139">
        <v>87202</v>
      </c>
      <c r="S143" s="139">
        <f t="shared" si="8"/>
        <v>12501278.720000001</v>
      </c>
      <c r="U143" s="139" t="s">
        <v>504</v>
      </c>
    </row>
    <row r="144" spans="1:21" x14ac:dyDescent="0.2">
      <c r="A144" s="139" t="s">
        <v>690</v>
      </c>
      <c r="C144" s="139" t="s">
        <v>463</v>
      </c>
      <c r="D144" s="139">
        <v>2460</v>
      </c>
      <c r="E144" s="139">
        <v>2587</v>
      </c>
      <c r="F144" s="139">
        <v>1817</v>
      </c>
      <c r="G144" s="139">
        <v>1606</v>
      </c>
      <c r="H144" s="139">
        <v>2044</v>
      </c>
      <c r="I144" s="139">
        <v>3047</v>
      </c>
      <c r="J144" s="139">
        <v>561</v>
      </c>
      <c r="K144" s="139">
        <v>623</v>
      </c>
      <c r="L144" s="139">
        <v>1406</v>
      </c>
      <c r="M144" s="139">
        <v>1340</v>
      </c>
      <c r="N144" s="139">
        <v>1544000</v>
      </c>
      <c r="O144" s="139">
        <v>1613000</v>
      </c>
      <c r="P144" s="139">
        <f t="shared" si="6"/>
        <v>1966.25</v>
      </c>
      <c r="Q144" s="139">
        <f t="shared" si="7"/>
        <v>2213.25</v>
      </c>
      <c r="R144" s="139">
        <v>15713</v>
      </c>
      <c r="S144" s="139">
        <f t="shared" si="8"/>
        <v>2252615.6800000002</v>
      </c>
      <c r="U144" s="139" t="s">
        <v>463</v>
      </c>
    </row>
    <row r="145" spans="1:21" x14ac:dyDescent="0.2">
      <c r="A145" s="139" t="s">
        <v>691</v>
      </c>
      <c r="C145" s="139" t="s">
        <v>338</v>
      </c>
      <c r="D145" s="139">
        <v>9671</v>
      </c>
      <c r="E145" s="139">
        <v>22046</v>
      </c>
      <c r="F145" s="139">
        <v>15452</v>
      </c>
      <c r="G145" s="139">
        <v>14616</v>
      </c>
      <c r="H145" s="139">
        <v>11017</v>
      </c>
      <c r="I145" s="139">
        <v>15860</v>
      </c>
      <c r="J145" s="139">
        <v>2958</v>
      </c>
      <c r="K145" s="139">
        <v>4384</v>
      </c>
      <c r="L145" s="139">
        <v>5100</v>
      </c>
      <c r="M145" s="139">
        <v>5471</v>
      </c>
      <c r="N145" s="139">
        <v>10731000</v>
      </c>
      <c r="O145" s="139">
        <v>10400000</v>
      </c>
      <c r="P145" s="139">
        <f t="shared" si="6"/>
        <v>11717.75</v>
      </c>
      <c r="Q145" s="139">
        <f t="shared" si="7"/>
        <v>15730.5</v>
      </c>
      <c r="R145" s="139">
        <v>22851</v>
      </c>
      <c r="S145" s="139">
        <f t="shared" si="8"/>
        <v>3275919.3600000003</v>
      </c>
      <c r="U145" s="139" t="s">
        <v>338</v>
      </c>
    </row>
    <row r="146" spans="1:21" x14ac:dyDescent="0.2">
      <c r="A146" s="139" t="s">
        <v>695</v>
      </c>
      <c r="C146" s="139" t="s">
        <v>225</v>
      </c>
      <c r="D146" s="139">
        <v>10926</v>
      </c>
      <c r="E146" s="139">
        <v>7556</v>
      </c>
      <c r="F146" s="139">
        <v>5388</v>
      </c>
      <c r="G146" s="139">
        <v>9182</v>
      </c>
      <c r="H146" s="139">
        <v>3312</v>
      </c>
      <c r="I146" s="139">
        <v>4274</v>
      </c>
      <c r="J146" s="139">
        <v>1682</v>
      </c>
      <c r="K146" s="139">
        <v>2478</v>
      </c>
      <c r="L146" s="139">
        <v>5217</v>
      </c>
      <c r="M146" s="139">
        <v>5939</v>
      </c>
      <c r="N146" s="139">
        <v>1477000</v>
      </c>
      <c r="O146" s="139">
        <v>1957000</v>
      </c>
      <c r="P146" s="139">
        <f t="shared" si="6"/>
        <v>5275.75</v>
      </c>
      <c r="Q146" s="139">
        <f t="shared" si="7"/>
        <v>5742.25</v>
      </c>
      <c r="R146" s="139">
        <v>35774</v>
      </c>
      <c r="S146" s="139">
        <f t="shared" si="8"/>
        <v>5128560.6400000006</v>
      </c>
      <c r="U146" s="139" t="s">
        <v>225</v>
      </c>
    </row>
    <row r="147" spans="1:21" x14ac:dyDescent="0.2">
      <c r="A147" s="139" t="s">
        <v>694</v>
      </c>
      <c r="C147" s="139" t="s">
        <v>380</v>
      </c>
      <c r="D147" s="139">
        <v>10111</v>
      </c>
      <c r="E147" s="139">
        <v>10853</v>
      </c>
      <c r="F147" s="139">
        <v>8157</v>
      </c>
      <c r="G147" s="139">
        <v>12146</v>
      </c>
      <c r="H147" s="139">
        <v>14516</v>
      </c>
      <c r="I147" s="139">
        <v>15154</v>
      </c>
      <c r="J147" s="139">
        <v>6625</v>
      </c>
      <c r="K147" s="139">
        <v>7257</v>
      </c>
      <c r="L147" s="139">
        <v>5938</v>
      </c>
      <c r="M147" s="139">
        <v>8627</v>
      </c>
      <c r="N147" s="139">
        <v>9095000</v>
      </c>
      <c r="O147" s="139">
        <v>5214000</v>
      </c>
      <c r="P147" s="139">
        <f t="shared" si="6"/>
        <v>10469.75</v>
      </c>
      <c r="Q147" s="139">
        <f t="shared" si="7"/>
        <v>10841.75</v>
      </c>
      <c r="R147" s="139">
        <v>38721</v>
      </c>
      <c r="S147" s="139">
        <f t="shared" si="8"/>
        <v>5551042.5600000005</v>
      </c>
      <c r="U147" s="139" t="s">
        <v>380</v>
      </c>
    </row>
    <row r="148" spans="1:21" x14ac:dyDescent="0.2">
      <c r="A148" s="139" t="s">
        <v>690</v>
      </c>
      <c r="C148" s="139" t="s">
        <v>464</v>
      </c>
      <c r="D148" s="139">
        <v>54447</v>
      </c>
      <c r="E148" s="139">
        <v>60661</v>
      </c>
      <c r="F148" s="139">
        <v>31481</v>
      </c>
      <c r="G148" s="139">
        <v>37568</v>
      </c>
      <c r="H148" s="139">
        <v>30602</v>
      </c>
      <c r="I148" s="139">
        <v>47857</v>
      </c>
      <c r="J148" s="139">
        <v>29241</v>
      </c>
      <c r="K148" s="139">
        <v>45677</v>
      </c>
      <c r="L148" s="139">
        <v>18101</v>
      </c>
      <c r="M148" s="139">
        <v>22447</v>
      </c>
      <c r="N148" s="139">
        <v>74398000</v>
      </c>
      <c r="O148" s="139">
        <v>45298000</v>
      </c>
      <c r="P148" s="139">
        <f t="shared" si="6"/>
        <v>47732</v>
      </c>
      <c r="Q148" s="139">
        <f t="shared" si="7"/>
        <v>47846</v>
      </c>
      <c r="R148" s="139">
        <v>90619</v>
      </c>
      <c r="S148" s="139">
        <f t="shared" si="8"/>
        <v>12991139.840000002</v>
      </c>
      <c r="U148" s="139" t="s">
        <v>464</v>
      </c>
    </row>
    <row r="149" spans="1:21" x14ac:dyDescent="0.2">
      <c r="A149" s="139" t="s">
        <v>694</v>
      </c>
      <c r="C149" s="139" t="s">
        <v>381</v>
      </c>
      <c r="D149" s="139">
        <v>21686</v>
      </c>
      <c r="E149" s="139">
        <v>12861</v>
      </c>
      <c r="F149" s="139">
        <v>12592</v>
      </c>
      <c r="G149" s="139">
        <v>16743</v>
      </c>
      <c r="H149" s="139">
        <v>10373</v>
      </c>
      <c r="I149" s="139">
        <v>12823</v>
      </c>
      <c r="J149" s="139">
        <v>12361</v>
      </c>
      <c r="K149" s="139">
        <v>13695</v>
      </c>
      <c r="L149" s="139">
        <v>11118</v>
      </c>
      <c r="M149" s="139">
        <v>9133</v>
      </c>
      <c r="N149" s="139">
        <v>17477000</v>
      </c>
      <c r="O149" s="139">
        <v>15333000</v>
      </c>
      <c r="P149" s="139">
        <f t="shared" si="6"/>
        <v>15532</v>
      </c>
      <c r="Q149" s="139">
        <f t="shared" si="7"/>
        <v>14440</v>
      </c>
      <c r="R149" s="139">
        <v>29724</v>
      </c>
      <c r="S149" s="139">
        <f t="shared" si="8"/>
        <v>4261232.6400000006</v>
      </c>
      <c r="U149" s="139" t="s">
        <v>381</v>
      </c>
    </row>
    <row r="150" spans="1:21" x14ac:dyDescent="0.2">
      <c r="A150" s="139" t="s">
        <v>695</v>
      </c>
      <c r="C150" s="139" t="s">
        <v>547</v>
      </c>
      <c r="D150" s="139">
        <v>47198</v>
      </c>
      <c r="E150" s="139">
        <v>55122</v>
      </c>
      <c r="F150" s="139">
        <v>37579</v>
      </c>
      <c r="G150" s="139">
        <v>42223</v>
      </c>
      <c r="H150" s="139">
        <v>65671</v>
      </c>
      <c r="I150" s="139">
        <v>69364</v>
      </c>
      <c r="J150" s="139">
        <v>43549</v>
      </c>
      <c r="K150" s="139">
        <v>52858</v>
      </c>
      <c r="L150" s="139">
        <v>40101</v>
      </c>
      <c r="M150" s="139">
        <v>46383</v>
      </c>
      <c r="N150" s="139">
        <v>37778000</v>
      </c>
      <c r="O150" s="139">
        <v>40893000</v>
      </c>
      <c r="P150" s="139">
        <f t="shared" si="6"/>
        <v>47056.5</v>
      </c>
      <c r="Q150" s="139">
        <f t="shared" si="7"/>
        <v>51900.5</v>
      </c>
      <c r="R150" s="139">
        <v>80813</v>
      </c>
      <c r="S150" s="139">
        <f t="shared" si="8"/>
        <v>11585351.680000002</v>
      </c>
      <c r="U150" s="139" t="s">
        <v>547</v>
      </c>
    </row>
    <row r="151" spans="1:21" x14ac:dyDescent="0.2">
      <c r="A151" s="139" t="s">
        <v>693</v>
      </c>
      <c r="C151" s="139" t="s">
        <v>540</v>
      </c>
      <c r="D151" s="139">
        <v>10</v>
      </c>
      <c r="E151" s="139">
        <v>38</v>
      </c>
      <c r="F151" s="139">
        <v>6</v>
      </c>
      <c r="G151" s="139">
        <v>52</v>
      </c>
      <c r="H151" s="139">
        <v>323</v>
      </c>
      <c r="I151" s="139">
        <v>378</v>
      </c>
      <c r="J151" s="139">
        <v>217</v>
      </c>
      <c r="K151" s="139">
        <v>335</v>
      </c>
      <c r="L151" s="139">
        <v>322</v>
      </c>
      <c r="M151" s="139">
        <v>352</v>
      </c>
      <c r="N151" s="139">
        <v>154000</v>
      </c>
      <c r="O151" s="139">
        <v>265000</v>
      </c>
      <c r="P151" s="139">
        <f t="shared" si="6"/>
        <v>123.25</v>
      </c>
      <c r="Q151" s="139">
        <f t="shared" si="7"/>
        <v>183.25</v>
      </c>
      <c r="R151" s="139">
        <v>10490</v>
      </c>
      <c r="S151" s="139">
        <f t="shared" si="8"/>
        <v>1503846.4000000001</v>
      </c>
      <c r="U151" s="139" t="s">
        <v>540</v>
      </c>
    </row>
    <row r="152" spans="1:21" x14ac:dyDescent="0.2">
      <c r="A152" s="139" t="s">
        <v>692</v>
      </c>
      <c r="C152" s="139" t="s">
        <v>263</v>
      </c>
      <c r="D152" s="139">
        <v>1632</v>
      </c>
      <c r="E152" s="139">
        <v>2282</v>
      </c>
      <c r="F152" s="139">
        <v>4112</v>
      </c>
      <c r="G152" s="139">
        <v>3906</v>
      </c>
      <c r="H152" s="139">
        <v>2022</v>
      </c>
      <c r="I152" s="139">
        <v>4239</v>
      </c>
      <c r="J152" s="139">
        <v>1892</v>
      </c>
      <c r="K152" s="139">
        <v>1997</v>
      </c>
      <c r="L152" s="139">
        <v>1223</v>
      </c>
      <c r="M152" s="139">
        <v>2563</v>
      </c>
      <c r="N152" s="139">
        <v>674000</v>
      </c>
      <c r="O152" s="139">
        <v>514000</v>
      </c>
      <c r="P152" s="139">
        <f t="shared" si="6"/>
        <v>2110</v>
      </c>
      <c r="Q152" s="139">
        <f t="shared" si="7"/>
        <v>2735.25</v>
      </c>
      <c r="R152" s="139">
        <v>16468</v>
      </c>
      <c r="S152" s="139">
        <f t="shared" si="8"/>
        <v>2360852.4800000004</v>
      </c>
      <c r="U152" s="139" t="s">
        <v>263</v>
      </c>
    </row>
    <row r="153" spans="1:21" x14ac:dyDescent="0.2">
      <c r="A153" s="139" t="s">
        <v>690</v>
      </c>
      <c r="C153" s="139" t="s">
        <v>465</v>
      </c>
      <c r="D153" s="139">
        <v>10156</v>
      </c>
      <c r="E153" s="139">
        <v>2000</v>
      </c>
      <c r="F153" s="139">
        <v>5867</v>
      </c>
      <c r="G153" s="139">
        <v>9512</v>
      </c>
      <c r="H153" s="139">
        <v>4646</v>
      </c>
      <c r="I153" s="139">
        <v>13692</v>
      </c>
      <c r="J153" s="139">
        <v>10604</v>
      </c>
      <c r="K153" s="139">
        <v>24849</v>
      </c>
      <c r="L153" s="139">
        <v>19634</v>
      </c>
      <c r="M153" s="139">
        <v>23900</v>
      </c>
      <c r="N153" s="139">
        <v>8496675</v>
      </c>
      <c r="O153" s="139">
        <v>8218688</v>
      </c>
      <c r="P153" s="139">
        <f t="shared" si="6"/>
        <v>7291.4187499999998</v>
      </c>
      <c r="Q153" s="139">
        <f t="shared" si="7"/>
        <v>8355.6720000000005</v>
      </c>
      <c r="R153" s="139">
        <v>43516</v>
      </c>
      <c r="S153" s="139">
        <f t="shared" si="8"/>
        <v>6238453.7600000007</v>
      </c>
      <c r="U153" s="139" t="s">
        <v>465</v>
      </c>
    </row>
    <row r="154" spans="1:21" x14ac:dyDescent="0.2">
      <c r="A154" s="139" t="s">
        <v>694</v>
      </c>
      <c r="C154" s="139" t="s">
        <v>382</v>
      </c>
      <c r="D154" s="139">
        <v>3026</v>
      </c>
      <c r="E154" s="139">
        <v>3155</v>
      </c>
      <c r="F154" s="139">
        <v>4490</v>
      </c>
      <c r="G154" s="139">
        <v>4806</v>
      </c>
      <c r="H154" s="139">
        <v>2493</v>
      </c>
      <c r="I154" s="139">
        <v>1194</v>
      </c>
      <c r="J154" s="139">
        <v>2120</v>
      </c>
      <c r="K154" s="139">
        <v>557</v>
      </c>
      <c r="L154" s="139">
        <v>1753</v>
      </c>
      <c r="M154" s="139">
        <v>922</v>
      </c>
      <c r="N154" s="139">
        <v>30000</v>
      </c>
      <c r="O154" s="139">
        <v>106000</v>
      </c>
      <c r="P154" s="139">
        <f t="shared" si="6"/>
        <v>2509.75</v>
      </c>
      <c r="Q154" s="139">
        <f t="shared" si="7"/>
        <v>2315.25</v>
      </c>
      <c r="R154" s="139">
        <v>21313</v>
      </c>
      <c r="S154" s="139">
        <f t="shared" si="8"/>
        <v>3055431.6800000002</v>
      </c>
      <c r="U154" s="139" t="s">
        <v>382</v>
      </c>
    </row>
    <row r="155" spans="1:21" x14ac:dyDescent="0.2">
      <c r="A155" s="139" t="s">
        <v>690</v>
      </c>
      <c r="C155" s="139" t="s">
        <v>466</v>
      </c>
      <c r="D155" s="139">
        <v>2989</v>
      </c>
      <c r="E155" s="139">
        <v>2783</v>
      </c>
      <c r="F155" s="139">
        <v>6757</v>
      </c>
      <c r="G155" s="139">
        <v>4979</v>
      </c>
      <c r="H155" s="139">
        <v>1711</v>
      </c>
      <c r="I155" s="139">
        <v>1479</v>
      </c>
      <c r="J155" s="139">
        <v>4461</v>
      </c>
      <c r="K155" s="139">
        <v>3667</v>
      </c>
      <c r="L155" s="139">
        <v>3036</v>
      </c>
      <c r="M155" s="139">
        <v>2807</v>
      </c>
      <c r="N155" s="139">
        <v>4435000</v>
      </c>
      <c r="O155" s="139">
        <v>2740000</v>
      </c>
      <c r="P155" s="139">
        <f t="shared" si="6"/>
        <v>3973</v>
      </c>
      <c r="Q155" s="139">
        <f t="shared" si="7"/>
        <v>2995.25</v>
      </c>
      <c r="R155" s="139">
        <v>15282</v>
      </c>
      <c r="S155" s="139">
        <f t="shared" si="8"/>
        <v>2190827.52</v>
      </c>
      <c r="U155" s="139" t="s">
        <v>466</v>
      </c>
    </row>
    <row r="156" spans="1:21" x14ac:dyDescent="0.2">
      <c r="A156" s="139" t="s">
        <v>691</v>
      </c>
      <c r="C156" s="139" t="s">
        <v>339</v>
      </c>
      <c r="D156" s="139">
        <v>11263</v>
      </c>
      <c r="E156" s="139">
        <v>18872</v>
      </c>
      <c r="F156" s="139">
        <v>14634</v>
      </c>
      <c r="G156" s="139">
        <v>16857</v>
      </c>
      <c r="H156" s="139">
        <v>55584</v>
      </c>
      <c r="I156" s="139">
        <v>53490</v>
      </c>
      <c r="J156" s="139">
        <v>20051</v>
      </c>
      <c r="K156" s="139">
        <v>19564</v>
      </c>
      <c r="L156" s="139">
        <v>20010</v>
      </c>
      <c r="M156" s="139">
        <v>19441</v>
      </c>
      <c r="N156" s="139">
        <v>23379000</v>
      </c>
      <c r="O156" s="139">
        <v>17601000</v>
      </c>
      <c r="P156" s="139">
        <f t="shared" si="6"/>
        <v>26215</v>
      </c>
      <c r="Q156" s="139">
        <f t="shared" si="7"/>
        <v>26705</v>
      </c>
      <c r="R156" s="139">
        <v>88915</v>
      </c>
      <c r="S156" s="139">
        <f t="shared" si="8"/>
        <v>12746854.4</v>
      </c>
      <c r="U156" s="139" t="s">
        <v>339</v>
      </c>
    </row>
    <row r="157" spans="1:21" x14ac:dyDescent="0.2">
      <c r="A157" s="139" t="s">
        <v>695</v>
      </c>
      <c r="C157" s="139" t="s">
        <v>226</v>
      </c>
      <c r="D157" s="139">
        <v>5468</v>
      </c>
      <c r="E157" s="139">
        <v>4469</v>
      </c>
      <c r="F157" s="139">
        <v>5846</v>
      </c>
      <c r="G157" s="139">
        <v>8523</v>
      </c>
      <c r="H157" s="139">
        <v>5939</v>
      </c>
      <c r="I157" s="139">
        <v>6186</v>
      </c>
      <c r="J157" s="139">
        <v>1226</v>
      </c>
      <c r="K157" s="139">
        <v>1419</v>
      </c>
      <c r="L157" s="139">
        <v>1252</v>
      </c>
      <c r="M157" s="139">
        <v>1383</v>
      </c>
      <c r="N157" s="139">
        <v>2697000</v>
      </c>
      <c r="O157" s="139">
        <v>2913000</v>
      </c>
      <c r="P157" s="139">
        <f t="shared" si="6"/>
        <v>4987.5</v>
      </c>
      <c r="Q157" s="139">
        <f t="shared" si="7"/>
        <v>5522.75</v>
      </c>
      <c r="R157" s="139">
        <v>35008</v>
      </c>
      <c r="S157" s="139">
        <f t="shared" si="8"/>
        <v>5018746.8800000008</v>
      </c>
      <c r="U157" s="139" t="s">
        <v>226</v>
      </c>
    </row>
    <row r="158" spans="1:21" x14ac:dyDescent="0.2">
      <c r="A158" s="139" t="s">
        <v>691</v>
      </c>
      <c r="C158" s="139" t="s">
        <v>340</v>
      </c>
      <c r="D158" s="139">
        <v>3325</v>
      </c>
      <c r="E158" s="139">
        <v>3480</v>
      </c>
      <c r="F158" s="139">
        <v>5599</v>
      </c>
      <c r="G158" s="139">
        <v>10908</v>
      </c>
      <c r="H158" s="139">
        <v>1866</v>
      </c>
      <c r="I158" s="139">
        <v>4453</v>
      </c>
      <c r="J158" s="139">
        <v>4259</v>
      </c>
      <c r="K158" s="139">
        <v>3644</v>
      </c>
      <c r="L158" s="139">
        <v>1919</v>
      </c>
      <c r="M158" s="139">
        <v>2714</v>
      </c>
      <c r="N158" s="139">
        <v>1249000</v>
      </c>
      <c r="O158" s="139">
        <v>213000</v>
      </c>
      <c r="P158" s="139">
        <f t="shared" si="6"/>
        <v>3009.75</v>
      </c>
      <c r="Q158" s="139">
        <f t="shared" si="7"/>
        <v>4763.5</v>
      </c>
      <c r="R158" s="139">
        <v>47595</v>
      </c>
      <c r="S158" s="139">
        <f t="shared" si="8"/>
        <v>6823219.2000000002</v>
      </c>
      <c r="U158" s="139" t="s">
        <v>340</v>
      </c>
    </row>
    <row r="159" spans="1:21" x14ac:dyDescent="0.2">
      <c r="A159" s="139" t="s">
        <v>689</v>
      </c>
      <c r="C159" s="139" t="s">
        <v>166</v>
      </c>
      <c r="D159" s="139">
        <v>13439</v>
      </c>
      <c r="E159" s="139">
        <v>21562</v>
      </c>
      <c r="F159" s="139">
        <v>10279</v>
      </c>
      <c r="G159" s="139">
        <v>11516</v>
      </c>
      <c r="H159" s="139">
        <v>6892</v>
      </c>
      <c r="I159" s="139">
        <v>8822</v>
      </c>
      <c r="J159" s="139">
        <v>13050</v>
      </c>
      <c r="K159" s="139">
        <v>13735</v>
      </c>
      <c r="L159" s="139">
        <v>10338</v>
      </c>
      <c r="M159" s="139">
        <v>8708</v>
      </c>
      <c r="N159" s="139">
        <v>6094000</v>
      </c>
      <c r="O159" s="139">
        <v>3553000</v>
      </c>
      <c r="P159" s="139">
        <f t="shared" si="6"/>
        <v>9176</v>
      </c>
      <c r="Q159" s="139">
        <f t="shared" si="7"/>
        <v>11363.25</v>
      </c>
      <c r="R159" s="139">
        <v>55320</v>
      </c>
      <c r="S159" s="139">
        <f t="shared" si="8"/>
        <v>7930675.2000000011</v>
      </c>
      <c r="U159" s="139" t="s">
        <v>166</v>
      </c>
    </row>
    <row r="160" spans="1:21" x14ac:dyDescent="0.2">
      <c r="A160" s="139" t="s">
        <v>698</v>
      </c>
      <c r="C160" s="139" t="s">
        <v>183</v>
      </c>
      <c r="D160" s="139">
        <v>5945</v>
      </c>
      <c r="E160" s="139">
        <v>12995</v>
      </c>
      <c r="F160" s="139">
        <v>4792</v>
      </c>
      <c r="G160" s="139">
        <v>7356</v>
      </c>
      <c r="H160" s="139">
        <v>3681</v>
      </c>
      <c r="I160" s="139">
        <v>6806</v>
      </c>
      <c r="J160" s="139">
        <v>5755</v>
      </c>
      <c r="K160" s="139">
        <v>6553</v>
      </c>
      <c r="L160" s="139">
        <v>17257</v>
      </c>
      <c r="M160" s="139">
        <v>19943</v>
      </c>
      <c r="N160" s="139">
        <v>6051000</v>
      </c>
      <c r="O160" s="139">
        <v>6436000</v>
      </c>
      <c r="P160" s="139">
        <f t="shared" si="6"/>
        <v>5117.25</v>
      </c>
      <c r="Q160" s="139">
        <f t="shared" si="7"/>
        <v>8398.25</v>
      </c>
      <c r="R160" s="139">
        <v>34232</v>
      </c>
      <c r="S160" s="139">
        <f t="shared" si="8"/>
        <v>4907499.5200000005</v>
      </c>
      <c r="U160" s="139" t="s">
        <v>183</v>
      </c>
    </row>
    <row r="161" spans="1:21" x14ac:dyDescent="0.2">
      <c r="A161" s="139" t="s">
        <v>691</v>
      </c>
      <c r="C161" s="139" t="s">
        <v>341</v>
      </c>
      <c r="D161" s="139">
        <v>9104</v>
      </c>
      <c r="E161" s="139">
        <v>8799</v>
      </c>
      <c r="F161" s="139">
        <v>11033</v>
      </c>
      <c r="G161" s="139">
        <v>16329</v>
      </c>
      <c r="H161" s="139">
        <v>21490</v>
      </c>
      <c r="I161" s="139">
        <v>28278</v>
      </c>
      <c r="J161" s="139">
        <v>16972</v>
      </c>
      <c r="K161" s="139">
        <v>17947</v>
      </c>
      <c r="L161" s="139">
        <v>15307</v>
      </c>
      <c r="M161" s="139">
        <v>14289</v>
      </c>
      <c r="N161" s="139">
        <v>6331000</v>
      </c>
      <c r="O161" s="139">
        <v>4707000</v>
      </c>
      <c r="P161" s="139">
        <f t="shared" si="6"/>
        <v>11989.5</v>
      </c>
      <c r="Q161" s="139">
        <f t="shared" si="7"/>
        <v>14528.25</v>
      </c>
      <c r="R161" s="139">
        <v>72519</v>
      </c>
      <c r="S161" s="139">
        <f t="shared" si="8"/>
        <v>10396323.840000002</v>
      </c>
      <c r="U161" s="139" t="s">
        <v>341</v>
      </c>
    </row>
    <row r="162" spans="1:21" x14ac:dyDescent="0.2">
      <c r="A162" s="139" t="s">
        <v>699</v>
      </c>
      <c r="C162" s="139" t="s">
        <v>505</v>
      </c>
      <c r="D162" s="139">
        <v>6567</v>
      </c>
      <c r="E162" s="139">
        <v>7094</v>
      </c>
      <c r="F162" s="139">
        <v>10039</v>
      </c>
      <c r="G162" s="139">
        <v>11326</v>
      </c>
      <c r="H162" s="139">
        <v>9784</v>
      </c>
      <c r="I162" s="139">
        <v>12703</v>
      </c>
      <c r="J162" s="139">
        <v>10111</v>
      </c>
      <c r="K162" s="139">
        <v>9124</v>
      </c>
      <c r="L162" s="139">
        <v>9237</v>
      </c>
      <c r="M162" s="139">
        <v>9718</v>
      </c>
      <c r="N162" s="139">
        <v>7230000</v>
      </c>
      <c r="O162" s="139">
        <v>8186000</v>
      </c>
      <c r="P162" s="139">
        <f t="shared" si="6"/>
        <v>8405</v>
      </c>
      <c r="Q162" s="139">
        <f t="shared" si="7"/>
        <v>9827.25</v>
      </c>
      <c r="R162" s="139">
        <v>42135</v>
      </c>
      <c r="S162" s="139">
        <f t="shared" si="8"/>
        <v>6040473.6000000006</v>
      </c>
      <c r="U162" s="139" t="s">
        <v>505</v>
      </c>
    </row>
    <row r="163" spans="1:21" x14ac:dyDescent="0.2">
      <c r="A163" s="139" t="s">
        <v>697</v>
      </c>
      <c r="C163" s="139" t="s">
        <v>301</v>
      </c>
      <c r="D163" s="139">
        <v>28340</v>
      </c>
      <c r="E163" s="139">
        <v>28308</v>
      </c>
      <c r="F163" s="139">
        <v>11066</v>
      </c>
      <c r="G163" s="139">
        <v>11135</v>
      </c>
      <c r="H163" s="139">
        <v>26183</v>
      </c>
      <c r="I163" s="139">
        <v>26177</v>
      </c>
      <c r="J163" s="139">
        <v>34434</v>
      </c>
      <c r="K163" s="139">
        <v>34429</v>
      </c>
      <c r="L163" s="139">
        <v>20518</v>
      </c>
      <c r="M163" s="139">
        <v>20509</v>
      </c>
      <c r="N163" s="139">
        <v>20067000</v>
      </c>
      <c r="O163" s="139">
        <v>20073000</v>
      </c>
      <c r="P163" s="139">
        <f t="shared" si="6"/>
        <v>21414</v>
      </c>
      <c r="Q163" s="139">
        <f t="shared" si="7"/>
        <v>21423.25</v>
      </c>
      <c r="R163" s="139">
        <v>49294</v>
      </c>
      <c r="S163" s="139">
        <f t="shared" si="8"/>
        <v>7066787.8400000008</v>
      </c>
      <c r="U163" s="139" t="s">
        <v>301</v>
      </c>
    </row>
    <row r="164" spans="1:21" x14ac:dyDescent="0.2">
      <c r="A164" s="139" t="s">
        <v>691</v>
      </c>
      <c r="C164" s="139" t="s">
        <v>342</v>
      </c>
      <c r="D164" s="139">
        <v>3305</v>
      </c>
      <c r="E164" s="139">
        <v>2670</v>
      </c>
      <c r="F164" s="139">
        <v>1726</v>
      </c>
      <c r="G164" s="139">
        <v>1427</v>
      </c>
      <c r="H164" s="139">
        <v>2973</v>
      </c>
      <c r="I164" s="139">
        <v>2972</v>
      </c>
      <c r="J164" s="139">
        <v>5201</v>
      </c>
      <c r="K164" s="139">
        <v>2455</v>
      </c>
      <c r="L164" s="139">
        <v>2047</v>
      </c>
      <c r="M164" s="139">
        <v>2056</v>
      </c>
      <c r="N164" s="139">
        <v>3235000</v>
      </c>
      <c r="O164" s="139">
        <v>2965000</v>
      </c>
      <c r="P164" s="139">
        <f t="shared" si="6"/>
        <v>2809.75</v>
      </c>
      <c r="Q164" s="139">
        <f t="shared" si="7"/>
        <v>2508.5</v>
      </c>
      <c r="R164" s="139">
        <v>41378</v>
      </c>
      <c r="S164" s="139">
        <f t="shared" si="8"/>
        <v>5931950.080000001</v>
      </c>
      <c r="U164" s="139" t="s">
        <v>342</v>
      </c>
    </row>
    <row r="165" spans="1:21" x14ac:dyDescent="0.2">
      <c r="A165" s="139" t="s">
        <v>701</v>
      </c>
      <c r="C165" s="139" t="s">
        <v>423</v>
      </c>
      <c r="D165" s="139">
        <v>5498</v>
      </c>
      <c r="E165" s="139">
        <v>4667</v>
      </c>
      <c r="F165" s="139">
        <v>8378</v>
      </c>
      <c r="G165" s="139">
        <v>7496</v>
      </c>
      <c r="H165" s="139">
        <v>4995</v>
      </c>
      <c r="I165" s="139">
        <v>3905</v>
      </c>
      <c r="J165" s="139">
        <v>2157</v>
      </c>
      <c r="K165" s="139">
        <v>2813</v>
      </c>
      <c r="L165" s="139">
        <v>580</v>
      </c>
      <c r="M165" s="139">
        <v>795</v>
      </c>
      <c r="N165" s="139">
        <v>652000</v>
      </c>
      <c r="O165" s="139">
        <v>761000</v>
      </c>
      <c r="P165" s="139">
        <f t="shared" si="6"/>
        <v>4880.75</v>
      </c>
      <c r="Q165" s="139">
        <f t="shared" si="7"/>
        <v>4207.25</v>
      </c>
      <c r="R165" s="139">
        <v>27400</v>
      </c>
      <c r="S165" s="139">
        <f t="shared" si="8"/>
        <v>3928064.0000000005</v>
      </c>
      <c r="U165" s="139" t="s">
        <v>423</v>
      </c>
    </row>
    <row r="166" spans="1:21" x14ac:dyDescent="0.2">
      <c r="A166" s="139" t="s">
        <v>697</v>
      </c>
      <c r="C166" s="139" t="s">
        <v>302</v>
      </c>
      <c r="D166" s="139">
        <v>13135</v>
      </c>
      <c r="E166" s="139">
        <v>10116</v>
      </c>
      <c r="F166" s="139">
        <v>8798</v>
      </c>
      <c r="G166" s="139">
        <v>2494</v>
      </c>
      <c r="H166" s="139">
        <v>7119</v>
      </c>
      <c r="I166" s="139">
        <v>6446</v>
      </c>
      <c r="J166" s="139">
        <v>3492</v>
      </c>
      <c r="K166" s="139">
        <v>2564</v>
      </c>
      <c r="L166" s="139">
        <v>10623</v>
      </c>
      <c r="M166" s="139">
        <v>9924</v>
      </c>
      <c r="N166" s="139">
        <v>5186000</v>
      </c>
      <c r="O166" s="139">
        <v>5217000</v>
      </c>
      <c r="P166" s="139">
        <f t="shared" si="6"/>
        <v>8559.5</v>
      </c>
      <c r="Q166" s="139">
        <f t="shared" si="7"/>
        <v>6068.25</v>
      </c>
      <c r="R166" s="139">
        <v>34206</v>
      </c>
      <c r="S166" s="139">
        <f t="shared" si="8"/>
        <v>4903772.1600000001</v>
      </c>
      <c r="U166" s="139" t="s">
        <v>302</v>
      </c>
    </row>
    <row r="167" spans="1:21" x14ac:dyDescent="0.2">
      <c r="A167" s="139" t="s">
        <v>694</v>
      </c>
      <c r="C167" s="139" t="s">
        <v>383</v>
      </c>
      <c r="D167" s="139">
        <v>20671</v>
      </c>
      <c r="E167" s="139">
        <v>21393</v>
      </c>
      <c r="F167" s="139">
        <v>13739</v>
      </c>
      <c r="G167" s="139">
        <v>59290</v>
      </c>
      <c r="H167" s="139">
        <v>16085</v>
      </c>
      <c r="I167" s="139">
        <v>20302</v>
      </c>
      <c r="J167" s="139">
        <v>23260</v>
      </c>
      <c r="K167" s="139">
        <v>20293</v>
      </c>
      <c r="L167" s="139">
        <v>9026</v>
      </c>
      <c r="M167" s="139">
        <v>7776</v>
      </c>
      <c r="N167" s="139">
        <v>6423000</v>
      </c>
      <c r="O167" s="139">
        <v>4043000</v>
      </c>
      <c r="P167" s="139">
        <f t="shared" si="6"/>
        <v>14229.5</v>
      </c>
      <c r="Q167" s="139">
        <f t="shared" si="7"/>
        <v>26257</v>
      </c>
      <c r="R167" s="139">
        <v>26377</v>
      </c>
      <c r="S167" s="139">
        <f t="shared" si="8"/>
        <v>3781406.7200000002</v>
      </c>
      <c r="U167" s="139" t="s">
        <v>383</v>
      </c>
    </row>
    <row r="168" spans="1:21" x14ac:dyDescent="0.2">
      <c r="A168" s="139" t="s">
        <v>695</v>
      </c>
      <c r="C168" s="139" t="s">
        <v>227</v>
      </c>
      <c r="D168" s="139">
        <v>40044</v>
      </c>
      <c r="E168" s="139">
        <v>42056</v>
      </c>
      <c r="F168" s="139">
        <v>54811</v>
      </c>
      <c r="G168" s="139">
        <v>61735</v>
      </c>
      <c r="H168" s="139">
        <v>40083</v>
      </c>
      <c r="I168" s="139">
        <v>47258</v>
      </c>
      <c r="J168" s="139">
        <v>27273</v>
      </c>
      <c r="K168" s="139">
        <v>27574</v>
      </c>
      <c r="L168" s="139">
        <v>31214</v>
      </c>
      <c r="M168" s="139">
        <v>34226</v>
      </c>
      <c r="N168" s="139">
        <v>28517000</v>
      </c>
      <c r="O168" s="139">
        <v>35315000</v>
      </c>
      <c r="P168" s="139">
        <f t="shared" si="6"/>
        <v>40863.75</v>
      </c>
      <c r="Q168" s="139">
        <f t="shared" si="7"/>
        <v>46591</v>
      </c>
      <c r="R168" s="139">
        <v>52514</v>
      </c>
      <c r="S168" s="139">
        <f t="shared" si="8"/>
        <v>7528407.040000001</v>
      </c>
      <c r="U168" s="139" t="s">
        <v>227</v>
      </c>
    </row>
    <row r="169" spans="1:21" x14ac:dyDescent="0.2">
      <c r="A169" s="139" t="s">
        <v>701</v>
      </c>
      <c r="C169" s="139" t="s">
        <v>424</v>
      </c>
      <c r="D169" s="139">
        <v>1614</v>
      </c>
      <c r="E169" s="139">
        <v>1472</v>
      </c>
      <c r="F169" s="139">
        <v>1419</v>
      </c>
      <c r="G169" s="139">
        <v>1320</v>
      </c>
      <c r="H169" s="139">
        <v>1584</v>
      </c>
      <c r="I169" s="139">
        <v>1460</v>
      </c>
      <c r="J169" s="139">
        <v>2160</v>
      </c>
      <c r="K169" s="139">
        <v>2070</v>
      </c>
      <c r="L169" s="139">
        <v>4092</v>
      </c>
      <c r="M169" s="139">
        <v>2828</v>
      </c>
      <c r="N169" s="139">
        <v>1685000</v>
      </c>
      <c r="O169" s="139">
        <v>1627000</v>
      </c>
      <c r="P169" s="139">
        <f t="shared" si="6"/>
        <v>1575.5</v>
      </c>
      <c r="Q169" s="139">
        <f t="shared" si="7"/>
        <v>1469.75</v>
      </c>
      <c r="R169" s="139">
        <v>12620</v>
      </c>
      <c r="S169" s="139">
        <f t="shared" si="8"/>
        <v>1809203.2000000002</v>
      </c>
      <c r="U169" s="139" t="s">
        <v>424</v>
      </c>
    </row>
    <row r="170" spans="1:21" x14ac:dyDescent="0.2">
      <c r="A170" s="139" t="s">
        <v>694</v>
      </c>
      <c r="C170" s="139" t="s">
        <v>384</v>
      </c>
      <c r="D170" s="139">
        <v>38501</v>
      </c>
      <c r="E170" s="139">
        <v>42278</v>
      </c>
      <c r="F170" s="139">
        <v>77954</v>
      </c>
      <c r="G170" s="139">
        <v>73609</v>
      </c>
      <c r="H170" s="139">
        <v>36375</v>
      </c>
      <c r="I170" s="139">
        <v>58141</v>
      </c>
      <c r="J170" s="139">
        <v>18152</v>
      </c>
      <c r="K170" s="139">
        <v>19224</v>
      </c>
      <c r="L170" s="139">
        <v>28067</v>
      </c>
      <c r="M170" s="139">
        <v>32902</v>
      </c>
      <c r="N170" s="139">
        <v>21892000</v>
      </c>
      <c r="O170" s="139">
        <v>23118000</v>
      </c>
      <c r="P170" s="139">
        <f t="shared" si="6"/>
        <v>43680.5</v>
      </c>
      <c r="Q170" s="139">
        <f t="shared" si="7"/>
        <v>49286.5</v>
      </c>
      <c r="R170" s="139">
        <v>64546</v>
      </c>
      <c r="S170" s="139">
        <f t="shared" si="8"/>
        <v>9253314.5600000005</v>
      </c>
      <c r="U170" s="139" t="s">
        <v>384</v>
      </c>
    </row>
    <row r="171" spans="1:21" x14ac:dyDescent="0.2">
      <c r="A171" s="139" t="s">
        <v>699</v>
      </c>
      <c r="C171" s="139" t="s">
        <v>506</v>
      </c>
      <c r="D171" s="139">
        <v>1793</v>
      </c>
      <c r="E171" s="139">
        <v>1419</v>
      </c>
      <c r="F171" s="139">
        <v>1431</v>
      </c>
      <c r="G171" s="139">
        <v>1209</v>
      </c>
      <c r="H171" s="139">
        <v>2694</v>
      </c>
      <c r="I171" s="139">
        <v>3996</v>
      </c>
      <c r="J171" s="139">
        <v>2642</v>
      </c>
      <c r="K171" s="139">
        <v>2874</v>
      </c>
      <c r="L171" s="139">
        <v>3064</v>
      </c>
      <c r="M171" s="139">
        <v>3130</v>
      </c>
      <c r="N171" s="139">
        <v>3442000</v>
      </c>
      <c r="O171" s="139">
        <v>3333000</v>
      </c>
      <c r="P171" s="139">
        <f t="shared" si="6"/>
        <v>2340</v>
      </c>
      <c r="Q171" s="139">
        <f t="shared" si="7"/>
        <v>2489.25</v>
      </c>
      <c r="R171" s="139">
        <v>45954</v>
      </c>
      <c r="S171" s="139">
        <f t="shared" si="8"/>
        <v>6587965.4400000004</v>
      </c>
      <c r="U171" s="139" t="s">
        <v>506</v>
      </c>
    </row>
    <row r="172" spans="1:21" x14ac:dyDescent="0.2">
      <c r="A172" s="139" t="s">
        <v>691</v>
      </c>
      <c r="C172" s="139" t="s">
        <v>343</v>
      </c>
      <c r="D172" s="139">
        <v>5551</v>
      </c>
      <c r="E172" s="139">
        <v>3904</v>
      </c>
      <c r="F172" s="139">
        <v>4034</v>
      </c>
      <c r="G172" s="139">
        <v>3944</v>
      </c>
      <c r="H172" s="139">
        <v>2302</v>
      </c>
      <c r="I172" s="139">
        <v>4705</v>
      </c>
      <c r="J172" s="139">
        <v>3286</v>
      </c>
      <c r="K172" s="139">
        <v>2934</v>
      </c>
      <c r="L172" s="139">
        <v>1831</v>
      </c>
      <c r="M172" s="139">
        <v>3656</v>
      </c>
      <c r="N172" s="139">
        <v>2169000</v>
      </c>
      <c r="O172" s="139">
        <v>904000</v>
      </c>
      <c r="P172" s="139">
        <f t="shared" si="6"/>
        <v>3514</v>
      </c>
      <c r="Q172" s="139">
        <f t="shared" si="7"/>
        <v>3364.25</v>
      </c>
      <c r="R172" s="139">
        <v>22524</v>
      </c>
      <c r="S172" s="139">
        <f t="shared" si="8"/>
        <v>3229040.6400000001</v>
      </c>
      <c r="U172" s="139" t="s">
        <v>343</v>
      </c>
    </row>
    <row r="173" spans="1:21" x14ac:dyDescent="0.2">
      <c r="A173" s="139" t="s">
        <v>693</v>
      </c>
      <c r="C173" s="139" t="s">
        <v>535</v>
      </c>
      <c r="D173" s="139">
        <v>251</v>
      </c>
      <c r="E173" s="139">
        <v>247</v>
      </c>
      <c r="F173" s="139">
        <v>811</v>
      </c>
      <c r="G173" s="139">
        <v>3936</v>
      </c>
      <c r="H173" s="139">
        <v>100</v>
      </c>
      <c r="I173" s="139">
        <v>178</v>
      </c>
      <c r="J173" s="139">
        <v>1979</v>
      </c>
      <c r="K173" s="139">
        <v>2241</v>
      </c>
      <c r="L173" s="139">
        <v>323</v>
      </c>
      <c r="M173" s="139">
        <v>387</v>
      </c>
      <c r="N173" s="139">
        <v>-21000</v>
      </c>
      <c r="O173" s="139">
        <v>73000</v>
      </c>
      <c r="P173" s="139">
        <f t="shared" si="6"/>
        <v>285.25</v>
      </c>
      <c r="Q173" s="139">
        <f t="shared" si="7"/>
        <v>1108.5</v>
      </c>
      <c r="R173" s="139">
        <v>12875</v>
      </c>
      <c r="S173" s="139">
        <f t="shared" si="8"/>
        <v>1845760.0000000002</v>
      </c>
      <c r="U173" s="139" t="s">
        <v>535</v>
      </c>
    </row>
    <row r="174" spans="1:21" x14ac:dyDescent="0.2">
      <c r="A174" s="139" t="s">
        <v>694</v>
      </c>
      <c r="C174" s="139" t="s">
        <v>385</v>
      </c>
      <c r="D174" s="139">
        <v>1011</v>
      </c>
      <c r="E174" s="139">
        <v>630</v>
      </c>
      <c r="F174" s="139">
        <v>831</v>
      </c>
      <c r="G174" s="139">
        <v>2272</v>
      </c>
      <c r="H174" s="139">
        <v>1126</v>
      </c>
      <c r="I174" s="139">
        <v>1411</v>
      </c>
      <c r="J174" s="139">
        <v>2154</v>
      </c>
      <c r="K174" s="139">
        <v>1856</v>
      </c>
      <c r="L174" s="139">
        <v>676</v>
      </c>
      <c r="M174" s="139">
        <v>854</v>
      </c>
      <c r="N174" s="139">
        <v>2732000</v>
      </c>
      <c r="O174" s="139">
        <v>2492000</v>
      </c>
      <c r="P174" s="139">
        <f t="shared" si="6"/>
        <v>1425</v>
      </c>
      <c r="Q174" s="139">
        <f t="shared" si="7"/>
        <v>1701.25</v>
      </c>
      <c r="R174" s="139">
        <v>10954</v>
      </c>
      <c r="S174" s="139">
        <f t="shared" si="8"/>
        <v>1570365.4400000002</v>
      </c>
      <c r="U174" s="139" t="s">
        <v>385</v>
      </c>
    </row>
    <row r="175" spans="1:21" x14ac:dyDescent="0.2">
      <c r="A175" s="139" t="s">
        <v>694</v>
      </c>
      <c r="C175" s="139" t="s">
        <v>386</v>
      </c>
      <c r="D175" s="139">
        <v>5403</v>
      </c>
      <c r="E175" s="139">
        <v>6396</v>
      </c>
      <c r="F175" s="139">
        <v>8617</v>
      </c>
      <c r="G175" s="139">
        <v>14606</v>
      </c>
      <c r="H175" s="139">
        <v>4585</v>
      </c>
      <c r="I175" s="139">
        <v>3620</v>
      </c>
      <c r="J175" s="139">
        <v>5143</v>
      </c>
      <c r="K175" s="139">
        <v>6442</v>
      </c>
      <c r="L175" s="139">
        <v>3472</v>
      </c>
      <c r="M175" s="139">
        <v>3621</v>
      </c>
      <c r="N175" s="139">
        <v>3272000</v>
      </c>
      <c r="O175" s="139">
        <v>4192000</v>
      </c>
      <c r="P175" s="139">
        <f t="shared" si="6"/>
        <v>5469.25</v>
      </c>
      <c r="Q175" s="139">
        <f t="shared" si="7"/>
        <v>7203.5</v>
      </c>
      <c r="R175" s="139">
        <v>29139</v>
      </c>
      <c r="S175" s="139">
        <f t="shared" si="8"/>
        <v>4177367.0400000005</v>
      </c>
      <c r="U175" s="139" t="s">
        <v>386</v>
      </c>
    </row>
    <row r="176" spans="1:21" x14ac:dyDescent="0.2">
      <c r="A176" s="139" t="s">
        <v>694</v>
      </c>
      <c r="C176" s="139" t="s">
        <v>595</v>
      </c>
      <c r="D176" s="139">
        <v>15479</v>
      </c>
      <c r="E176" s="139">
        <v>15339</v>
      </c>
      <c r="F176" s="139">
        <v>35731</v>
      </c>
      <c r="G176" s="139">
        <v>35165</v>
      </c>
      <c r="H176" s="139">
        <v>12373</v>
      </c>
      <c r="I176" s="139">
        <v>12523</v>
      </c>
      <c r="J176" s="139">
        <v>7606</v>
      </c>
      <c r="K176" s="139">
        <v>5896</v>
      </c>
      <c r="L176" s="139">
        <v>8968</v>
      </c>
      <c r="M176" s="139">
        <v>7939</v>
      </c>
      <c r="N176" s="139">
        <v>6278000</v>
      </c>
      <c r="O176" s="139">
        <v>6271000</v>
      </c>
      <c r="P176" s="139">
        <f t="shared" si="6"/>
        <v>17465.25</v>
      </c>
      <c r="Q176" s="139">
        <f t="shared" si="7"/>
        <v>17324.5</v>
      </c>
      <c r="R176" s="139">
        <v>55218</v>
      </c>
      <c r="S176" s="139">
        <f t="shared" si="8"/>
        <v>7916052.4800000004</v>
      </c>
      <c r="U176" s="139" t="s">
        <v>595</v>
      </c>
    </row>
    <row r="177" spans="1:21" x14ac:dyDescent="0.2">
      <c r="A177" s="139" t="s">
        <v>690</v>
      </c>
      <c r="C177" s="139" t="s">
        <v>467</v>
      </c>
      <c r="D177" s="139">
        <v>10199</v>
      </c>
      <c r="E177" s="139">
        <v>9776</v>
      </c>
      <c r="F177" s="139">
        <v>8631</v>
      </c>
      <c r="G177" s="139">
        <v>8846</v>
      </c>
      <c r="H177" s="139">
        <v>6576</v>
      </c>
      <c r="I177" s="139">
        <v>5488</v>
      </c>
      <c r="J177" s="139">
        <v>6057</v>
      </c>
      <c r="K177" s="139">
        <v>7411</v>
      </c>
      <c r="L177" s="139">
        <v>9554</v>
      </c>
      <c r="M177" s="139">
        <v>10019</v>
      </c>
      <c r="N177" s="139">
        <v>5525000</v>
      </c>
      <c r="O177" s="139">
        <v>6229000</v>
      </c>
      <c r="P177" s="139">
        <f t="shared" si="6"/>
        <v>7732.75</v>
      </c>
      <c r="Q177" s="139">
        <f t="shared" si="7"/>
        <v>7584.75</v>
      </c>
      <c r="R177" s="139">
        <v>21945</v>
      </c>
      <c r="S177" s="139">
        <f t="shared" si="8"/>
        <v>3146035.2000000002</v>
      </c>
      <c r="U177" s="139" t="s">
        <v>467</v>
      </c>
    </row>
    <row r="178" spans="1:21" x14ac:dyDescent="0.2">
      <c r="A178" s="139" t="s">
        <v>690</v>
      </c>
      <c r="C178" s="139" t="s">
        <v>468</v>
      </c>
      <c r="D178" s="139">
        <v>3829</v>
      </c>
      <c r="E178" s="139">
        <v>7074</v>
      </c>
      <c r="F178" s="139">
        <v>5575</v>
      </c>
      <c r="G178" s="139">
        <v>9841</v>
      </c>
      <c r="H178" s="139">
        <v>2633</v>
      </c>
      <c r="I178" s="139">
        <v>3486</v>
      </c>
      <c r="J178" s="139">
        <v>5493</v>
      </c>
      <c r="K178" s="139">
        <v>6456</v>
      </c>
      <c r="L178" s="139">
        <v>2809</v>
      </c>
      <c r="M178" s="139">
        <v>3376</v>
      </c>
      <c r="N178" s="139">
        <v>3658000</v>
      </c>
      <c r="O178" s="139">
        <v>3164000</v>
      </c>
      <c r="P178" s="139">
        <f t="shared" si="6"/>
        <v>3923.75</v>
      </c>
      <c r="Q178" s="139">
        <f t="shared" si="7"/>
        <v>5891.25</v>
      </c>
      <c r="R178" s="139">
        <v>15317</v>
      </c>
      <c r="S178" s="139">
        <f t="shared" si="8"/>
        <v>2195845.1200000001</v>
      </c>
      <c r="U178" s="139" t="s">
        <v>468</v>
      </c>
    </row>
    <row r="179" spans="1:21" x14ac:dyDescent="0.2">
      <c r="A179" s="139" t="s">
        <v>699</v>
      </c>
      <c r="C179" s="139" t="s">
        <v>507</v>
      </c>
      <c r="D179" s="139">
        <v>1781</v>
      </c>
      <c r="E179" s="139">
        <v>3563</v>
      </c>
      <c r="F179" s="139">
        <v>2355</v>
      </c>
      <c r="G179" s="139">
        <v>3789</v>
      </c>
      <c r="H179" s="139">
        <v>3860</v>
      </c>
      <c r="I179" s="139">
        <v>3409</v>
      </c>
      <c r="J179" s="139">
        <v>3552</v>
      </c>
      <c r="K179" s="139">
        <v>2228</v>
      </c>
      <c r="L179" s="139">
        <v>587</v>
      </c>
      <c r="M179" s="139">
        <v>880</v>
      </c>
      <c r="N179" s="139">
        <v>2454000</v>
      </c>
      <c r="O179" s="139">
        <v>2611000</v>
      </c>
      <c r="P179" s="139">
        <f t="shared" si="6"/>
        <v>2612.5</v>
      </c>
      <c r="Q179" s="139">
        <f t="shared" si="7"/>
        <v>3343</v>
      </c>
      <c r="R179" s="139">
        <v>37479</v>
      </c>
      <c r="S179" s="139">
        <f t="shared" si="8"/>
        <v>5372989.4400000004</v>
      </c>
      <c r="U179" s="139" t="s">
        <v>507</v>
      </c>
    </row>
    <row r="180" spans="1:21" x14ac:dyDescent="0.2">
      <c r="A180" s="139" t="s">
        <v>691</v>
      </c>
      <c r="C180" s="139" t="s">
        <v>344</v>
      </c>
      <c r="D180" s="139">
        <v>1236</v>
      </c>
      <c r="E180" s="139">
        <v>1167</v>
      </c>
      <c r="F180" s="139">
        <v>3034</v>
      </c>
      <c r="G180" s="139">
        <v>2510</v>
      </c>
      <c r="H180" s="139">
        <v>3661</v>
      </c>
      <c r="I180" s="139">
        <v>5445</v>
      </c>
      <c r="J180" s="139">
        <v>5359</v>
      </c>
      <c r="K180" s="139">
        <v>5760</v>
      </c>
      <c r="L180" s="139">
        <v>4030</v>
      </c>
      <c r="M180" s="139">
        <v>3101</v>
      </c>
      <c r="N180" s="139">
        <v>10850000</v>
      </c>
      <c r="O180" s="139">
        <v>9209000</v>
      </c>
      <c r="P180" s="139">
        <f t="shared" si="6"/>
        <v>4695.25</v>
      </c>
      <c r="Q180" s="139">
        <f t="shared" si="7"/>
        <v>4582.75</v>
      </c>
      <c r="R180" s="139">
        <v>11270</v>
      </c>
      <c r="S180" s="139">
        <f t="shared" si="8"/>
        <v>1615667.2000000002</v>
      </c>
      <c r="U180" s="139" t="s">
        <v>344</v>
      </c>
    </row>
    <row r="181" spans="1:21" x14ac:dyDescent="0.2">
      <c r="A181" s="139" t="s">
        <v>691</v>
      </c>
      <c r="C181" s="139" t="s">
        <v>345</v>
      </c>
      <c r="D181" s="139">
        <v>11988</v>
      </c>
      <c r="E181" s="139">
        <v>9200</v>
      </c>
      <c r="F181" s="139">
        <v>8188</v>
      </c>
      <c r="G181" s="139">
        <v>7164</v>
      </c>
      <c r="H181" s="139">
        <v>17951</v>
      </c>
      <c r="I181" s="139">
        <v>26324</v>
      </c>
      <c r="J181" s="139">
        <v>14219</v>
      </c>
      <c r="K181" s="139">
        <v>11008</v>
      </c>
      <c r="L181" s="139">
        <v>12328</v>
      </c>
      <c r="M181" s="139">
        <v>19635</v>
      </c>
      <c r="N181" s="139">
        <v>10435000</v>
      </c>
      <c r="O181" s="139">
        <v>5936000</v>
      </c>
      <c r="P181" s="139">
        <f t="shared" si="6"/>
        <v>12140.5</v>
      </c>
      <c r="Q181" s="139">
        <f t="shared" si="7"/>
        <v>12156</v>
      </c>
      <c r="R181" s="139">
        <v>27616</v>
      </c>
      <c r="S181" s="139">
        <f t="shared" si="8"/>
        <v>3959029.7600000002</v>
      </c>
      <c r="U181" s="139" t="s">
        <v>345</v>
      </c>
    </row>
    <row r="182" spans="1:21" x14ac:dyDescent="0.2">
      <c r="A182" s="139" t="s">
        <v>694</v>
      </c>
      <c r="C182" s="139" t="s">
        <v>387</v>
      </c>
      <c r="D182" s="139">
        <v>52816</v>
      </c>
      <c r="E182" s="139">
        <v>68386</v>
      </c>
      <c r="F182" s="139">
        <v>37717</v>
      </c>
      <c r="G182" s="139">
        <v>37323</v>
      </c>
      <c r="H182" s="139">
        <v>35655</v>
      </c>
      <c r="I182" s="139">
        <v>52531</v>
      </c>
      <c r="J182" s="139">
        <v>45348</v>
      </c>
      <c r="K182" s="139">
        <v>89045</v>
      </c>
      <c r="L182" s="139">
        <v>24409</v>
      </c>
      <c r="M182" s="139">
        <v>27335</v>
      </c>
      <c r="N182" s="139">
        <v>71067000</v>
      </c>
      <c r="O182" s="139">
        <v>37357000</v>
      </c>
      <c r="P182" s="139">
        <f t="shared" si="6"/>
        <v>49313.75</v>
      </c>
      <c r="Q182" s="139">
        <f t="shared" si="7"/>
        <v>48899.25</v>
      </c>
      <c r="R182" s="139">
        <v>60098</v>
      </c>
      <c r="S182" s="139">
        <f t="shared" si="8"/>
        <v>8615649.2800000012</v>
      </c>
      <c r="U182" s="139" t="s">
        <v>387</v>
      </c>
    </row>
    <row r="183" spans="1:21" x14ac:dyDescent="0.2">
      <c r="A183" s="139" t="s">
        <v>691</v>
      </c>
      <c r="C183" s="139" t="s">
        <v>346</v>
      </c>
      <c r="D183" s="139">
        <v>504</v>
      </c>
      <c r="E183" s="139">
        <v>350</v>
      </c>
      <c r="F183" s="139">
        <v>828</v>
      </c>
      <c r="G183" s="139">
        <v>737</v>
      </c>
      <c r="H183" s="139">
        <v>406</v>
      </c>
      <c r="I183" s="139">
        <v>386</v>
      </c>
      <c r="J183" s="139">
        <v>521</v>
      </c>
      <c r="K183" s="139">
        <v>221</v>
      </c>
      <c r="L183" s="139">
        <v>481</v>
      </c>
      <c r="M183" s="139">
        <v>226</v>
      </c>
      <c r="N183" s="139">
        <v>1268000</v>
      </c>
      <c r="O183" s="139">
        <v>1199000</v>
      </c>
      <c r="P183" s="139">
        <f t="shared" si="6"/>
        <v>751.5</v>
      </c>
      <c r="Q183" s="139">
        <f t="shared" si="7"/>
        <v>668</v>
      </c>
      <c r="R183" s="139">
        <v>11089</v>
      </c>
      <c r="S183" s="139">
        <f t="shared" si="8"/>
        <v>1589719.04</v>
      </c>
      <c r="U183" s="139" t="s">
        <v>346</v>
      </c>
    </row>
    <row r="184" spans="1:21" x14ac:dyDescent="0.2">
      <c r="A184" s="139" t="s">
        <v>698</v>
      </c>
      <c r="C184" s="139" t="s">
        <v>184</v>
      </c>
      <c r="D184" s="139">
        <v>10016</v>
      </c>
      <c r="E184" s="139">
        <v>9522</v>
      </c>
      <c r="F184" s="139">
        <v>7623</v>
      </c>
      <c r="G184" s="139">
        <v>9251</v>
      </c>
      <c r="H184" s="139">
        <v>6333</v>
      </c>
      <c r="I184" s="139">
        <v>6705</v>
      </c>
      <c r="J184" s="139">
        <v>5059</v>
      </c>
      <c r="K184" s="139">
        <v>4624</v>
      </c>
      <c r="L184" s="139">
        <v>4007</v>
      </c>
      <c r="M184" s="139">
        <v>4363</v>
      </c>
      <c r="N184" s="139">
        <v>4371000</v>
      </c>
      <c r="O184" s="139">
        <v>4482000</v>
      </c>
      <c r="P184" s="139">
        <f t="shared" si="6"/>
        <v>7085.75</v>
      </c>
      <c r="Q184" s="139">
        <f t="shared" si="7"/>
        <v>7490</v>
      </c>
      <c r="R184" s="139">
        <v>19644</v>
      </c>
      <c r="S184" s="139">
        <f t="shared" si="8"/>
        <v>2816163.8400000003</v>
      </c>
      <c r="U184" s="139" t="s">
        <v>184</v>
      </c>
    </row>
    <row r="185" spans="1:21" x14ac:dyDescent="0.2">
      <c r="A185" s="139" t="s">
        <v>694</v>
      </c>
      <c r="C185" s="139" t="s">
        <v>388</v>
      </c>
      <c r="D185" s="139">
        <v>2970</v>
      </c>
      <c r="E185" s="139">
        <v>2958</v>
      </c>
      <c r="F185" s="139">
        <v>4346</v>
      </c>
      <c r="G185" s="139">
        <v>4433</v>
      </c>
      <c r="H185" s="139">
        <v>4301</v>
      </c>
      <c r="I185" s="139">
        <v>5126</v>
      </c>
      <c r="J185" s="139">
        <v>5980</v>
      </c>
      <c r="K185" s="139">
        <v>7219</v>
      </c>
      <c r="L185" s="139">
        <v>1</v>
      </c>
      <c r="M185" s="139">
        <v>37</v>
      </c>
      <c r="N185" s="139">
        <v>509000</v>
      </c>
      <c r="O185" s="139">
        <v>511000</v>
      </c>
      <c r="P185" s="139">
        <f t="shared" si="6"/>
        <v>3031.5</v>
      </c>
      <c r="Q185" s="139">
        <f t="shared" si="7"/>
        <v>3257</v>
      </c>
      <c r="R185" s="139">
        <v>20905</v>
      </c>
      <c r="S185" s="139">
        <f t="shared" si="8"/>
        <v>2996940.8000000003</v>
      </c>
      <c r="U185" s="139" t="s">
        <v>388</v>
      </c>
    </row>
    <row r="186" spans="1:21" x14ac:dyDescent="0.2">
      <c r="A186" s="139" t="s">
        <v>693</v>
      </c>
      <c r="C186" s="139" t="s">
        <v>205</v>
      </c>
      <c r="D186" s="139">
        <v>49363.258046184841</v>
      </c>
      <c r="E186" s="139">
        <v>51347.577000568272</v>
      </c>
      <c r="F186" s="139">
        <v>76515.49458483755</v>
      </c>
      <c r="G186" s="139">
        <v>78887.961010830331</v>
      </c>
      <c r="H186" s="139">
        <v>86535.623517276952</v>
      </c>
      <c r="I186" s="139">
        <v>87515.149664775658</v>
      </c>
      <c r="J186" s="139">
        <v>19680.286952037131</v>
      </c>
      <c r="K186" s="139">
        <v>18969.330273336771</v>
      </c>
      <c r="L186" s="139">
        <v>21493</v>
      </c>
      <c r="M186" s="139">
        <v>21764</v>
      </c>
      <c r="N186" s="139">
        <v>47785000</v>
      </c>
      <c r="O186" s="139">
        <v>48099000</v>
      </c>
      <c r="P186" s="139">
        <f t="shared" si="6"/>
        <v>65049.844037074836</v>
      </c>
      <c r="Q186" s="139">
        <f t="shared" si="7"/>
        <v>66462.421919043569</v>
      </c>
      <c r="R186" s="139">
        <v>108685</v>
      </c>
      <c r="S186" s="139">
        <f t="shared" si="8"/>
        <v>15581081.600000001</v>
      </c>
      <c r="U186" s="139" t="s">
        <v>205</v>
      </c>
    </row>
    <row r="187" spans="1:21" x14ac:dyDescent="0.2">
      <c r="A187" s="139" t="s">
        <v>693</v>
      </c>
      <c r="C187" s="139" t="s">
        <v>206</v>
      </c>
      <c r="D187" s="139">
        <v>450</v>
      </c>
      <c r="E187" s="139">
        <v>351</v>
      </c>
      <c r="F187" s="139">
        <v>384</v>
      </c>
      <c r="G187" s="139">
        <v>1489</v>
      </c>
      <c r="H187" s="139">
        <v>342</v>
      </c>
      <c r="I187" s="139">
        <v>553</v>
      </c>
      <c r="J187" s="139">
        <v>241</v>
      </c>
      <c r="K187" s="139">
        <v>1135</v>
      </c>
      <c r="L187" s="139">
        <v>70</v>
      </c>
      <c r="M187" s="139">
        <v>121</v>
      </c>
      <c r="N187" s="139">
        <v>654000</v>
      </c>
      <c r="O187" s="139">
        <v>520000</v>
      </c>
      <c r="P187" s="139">
        <f t="shared" si="6"/>
        <v>457.5</v>
      </c>
      <c r="Q187" s="139">
        <f t="shared" si="7"/>
        <v>728.25</v>
      </c>
      <c r="R187" s="139">
        <v>10105</v>
      </c>
      <c r="S187" s="139">
        <f t="shared" si="8"/>
        <v>1448652.8</v>
      </c>
      <c r="U187" s="139" t="s">
        <v>206</v>
      </c>
    </row>
    <row r="188" spans="1:21" x14ac:dyDescent="0.2">
      <c r="A188" s="139" t="s">
        <v>694</v>
      </c>
      <c r="C188" s="139" t="s">
        <v>389</v>
      </c>
      <c r="D188" s="139">
        <v>54264</v>
      </c>
      <c r="E188" s="139">
        <v>92279</v>
      </c>
      <c r="F188" s="139">
        <v>36733</v>
      </c>
      <c r="G188" s="139">
        <v>42391</v>
      </c>
      <c r="H188" s="139">
        <v>40363</v>
      </c>
      <c r="I188" s="139">
        <v>53626</v>
      </c>
      <c r="J188" s="139">
        <v>27796</v>
      </c>
      <c r="K188" s="139">
        <v>43167</v>
      </c>
      <c r="L188" s="139">
        <v>43094</v>
      </c>
      <c r="M188" s="139">
        <v>51563</v>
      </c>
      <c r="N188" s="139">
        <v>35369000</v>
      </c>
      <c r="O188" s="139">
        <v>44820000</v>
      </c>
      <c r="P188" s="139">
        <f t="shared" si="6"/>
        <v>41682.25</v>
      </c>
      <c r="Q188" s="139">
        <f t="shared" si="7"/>
        <v>58279</v>
      </c>
      <c r="R188" s="139">
        <v>123752</v>
      </c>
      <c r="S188" s="139">
        <f t="shared" si="8"/>
        <v>17741086.720000003</v>
      </c>
      <c r="U188" s="139" t="s">
        <v>389</v>
      </c>
    </row>
    <row r="189" spans="1:21" x14ac:dyDescent="0.2">
      <c r="A189" s="139" t="s">
        <v>694</v>
      </c>
      <c r="C189" s="139" t="s">
        <v>390</v>
      </c>
      <c r="D189" s="139">
        <v>13871</v>
      </c>
      <c r="E189" s="139">
        <v>13554</v>
      </c>
      <c r="F189" s="139">
        <v>6595</v>
      </c>
      <c r="G189" s="139">
        <v>8806</v>
      </c>
      <c r="H189" s="139">
        <v>19895</v>
      </c>
      <c r="I189" s="139">
        <v>15029</v>
      </c>
      <c r="J189" s="139">
        <v>8920</v>
      </c>
      <c r="K189" s="139">
        <v>9339</v>
      </c>
      <c r="L189" s="139">
        <v>8236</v>
      </c>
      <c r="M189" s="139">
        <v>6774</v>
      </c>
      <c r="N189" s="139">
        <v>13763000</v>
      </c>
      <c r="O189" s="139">
        <v>11395000</v>
      </c>
      <c r="P189" s="139">
        <f t="shared" si="6"/>
        <v>13531</v>
      </c>
      <c r="Q189" s="139">
        <f t="shared" si="7"/>
        <v>12196</v>
      </c>
      <c r="R189" s="139">
        <v>27129</v>
      </c>
      <c r="S189" s="139">
        <f t="shared" si="8"/>
        <v>3889213.4400000004</v>
      </c>
      <c r="U189" s="139" t="s">
        <v>390</v>
      </c>
    </row>
    <row r="190" spans="1:21" x14ac:dyDescent="0.2">
      <c r="A190" s="139" t="s">
        <v>694</v>
      </c>
      <c r="C190" s="139" t="s">
        <v>391</v>
      </c>
      <c r="D190" s="139">
        <v>16353</v>
      </c>
      <c r="E190" s="139">
        <v>19271</v>
      </c>
      <c r="F190" s="139">
        <v>23736</v>
      </c>
      <c r="G190" s="139">
        <v>26641</v>
      </c>
      <c r="H190" s="139">
        <v>27614</v>
      </c>
      <c r="I190" s="139">
        <v>28621</v>
      </c>
      <c r="J190" s="139">
        <v>9565</v>
      </c>
      <c r="K190" s="139">
        <v>12221</v>
      </c>
      <c r="L190" s="139">
        <v>8022</v>
      </c>
      <c r="M190" s="139">
        <v>26593</v>
      </c>
      <c r="N190" s="139">
        <v>1615000</v>
      </c>
      <c r="O190" s="139">
        <v>1747000</v>
      </c>
      <c r="P190" s="139">
        <f t="shared" si="6"/>
        <v>17329.5</v>
      </c>
      <c r="Q190" s="139">
        <f t="shared" si="7"/>
        <v>19070</v>
      </c>
      <c r="R190" s="139">
        <v>74608</v>
      </c>
      <c r="S190" s="139">
        <f t="shared" si="8"/>
        <v>10695802.880000001</v>
      </c>
      <c r="U190" s="139" t="s">
        <v>391</v>
      </c>
    </row>
    <row r="191" spans="1:21" x14ac:dyDescent="0.2">
      <c r="A191" s="139" t="s">
        <v>696</v>
      </c>
      <c r="C191" s="139" t="s">
        <v>531</v>
      </c>
      <c r="D191" s="139">
        <v>39569</v>
      </c>
      <c r="E191" s="139">
        <v>43107</v>
      </c>
      <c r="F191" s="139">
        <v>28945</v>
      </c>
      <c r="G191" s="139">
        <v>34903</v>
      </c>
      <c r="H191" s="139">
        <v>34115</v>
      </c>
      <c r="I191" s="139">
        <v>43714</v>
      </c>
      <c r="J191" s="139">
        <v>15612</v>
      </c>
      <c r="K191" s="139">
        <v>20801</v>
      </c>
      <c r="L191" s="139">
        <v>10905</v>
      </c>
      <c r="M191" s="139">
        <v>16419</v>
      </c>
      <c r="N191" s="139">
        <v>29748000</v>
      </c>
      <c r="O191" s="139">
        <v>26316000</v>
      </c>
      <c r="P191" s="139">
        <f t="shared" si="6"/>
        <v>33094.25</v>
      </c>
      <c r="Q191" s="139">
        <f t="shared" si="7"/>
        <v>37010</v>
      </c>
      <c r="R191" s="139">
        <v>76970</v>
      </c>
      <c r="S191" s="139">
        <f t="shared" si="8"/>
        <v>11034419.200000001</v>
      </c>
      <c r="U191" s="139" t="s">
        <v>531</v>
      </c>
    </row>
    <row r="192" spans="1:21" x14ac:dyDescent="0.2">
      <c r="A192" s="139" t="s">
        <v>699</v>
      </c>
      <c r="C192" s="139" t="s">
        <v>508</v>
      </c>
      <c r="D192" s="139">
        <v>2244</v>
      </c>
      <c r="E192" s="139">
        <v>2354</v>
      </c>
      <c r="F192" s="139">
        <v>1996</v>
      </c>
      <c r="G192" s="139">
        <v>2164</v>
      </c>
      <c r="H192" s="139">
        <v>447</v>
      </c>
      <c r="I192" s="139">
        <v>1852</v>
      </c>
      <c r="J192" s="139">
        <v>610</v>
      </c>
      <c r="K192" s="139">
        <v>3744</v>
      </c>
      <c r="L192" s="139">
        <v>489</v>
      </c>
      <c r="M192" s="139">
        <v>568</v>
      </c>
      <c r="N192" s="139">
        <v>307000</v>
      </c>
      <c r="O192" s="139">
        <v>609000</v>
      </c>
      <c r="P192" s="139">
        <f t="shared" si="6"/>
        <v>1248.5</v>
      </c>
      <c r="Q192" s="139">
        <f t="shared" si="7"/>
        <v>1744.75</v>
      </c>
      <c r="R192" s="139">
        <v>35907</v>
      </c>
      <c r="S192" s="139">
        <f t="shared" si="8"/>
        <v>5147627.5200000005</v>
      </c>
      <c r="U192" s="139" t="s">
        <v>508</v>
      </c>
    </row>
    <row r="193" spans="1:21" x14ac:dyDescent="0.2">
      <c r="A193" s="139" t="s">
        <v>697</v>
      </c>
      <c r="C193" s="139" t="s">
        <v>303</v>
      </c>
      <c r="D193" s="139">
        <v>21154</v>
      </c>
      <c r="E193" s="139">
        <v>12362</v>
      </c>
      <c r="F193" s="139">
        <v>12560</v>
      </c>
      <c r="G193" s="139">
        <v>10679</v>
      </c>
      <c r="H193" s="139">
        <v>3711</v>
      </c>
      <c r="I193" s="139">
        <v>2978</v>
      </c>
      <c r="J193" s="139">
        <v>4482</v>
      </c>
      <c r="K193" s="139">
        <v>6581</v>
      </c>
      <c r="L193" s="139">
        <v>13615</v>
      </c>
      <c r="M193" s="139">
        <v>13064</v>
      </c>
      <c r="N193" s="139">
        <v>9727000</v>
      </c>
      <c r="O193" s="139">
        <v>11036000</v>
      </c>
      <c r="P193" s="139">
        <f t="shared" si="6"/>
        <v>11788</v>
      </c>
      <c r="Q193" s="139">
        <f t="shared" si="7"/>
        <v>9263.75</v>
      </c>
      <c r="R193" s="139">
        <v>29674</v>
      </c>
      <c r="S193" s="139">
        <f t="shared" si="8"/>
        <v>4254064.6400000006</v>
      </c>
      <c r="U193" s="139" t="s">
        <v>303</v>
      </c>
    </row>
    <row r="194" spans="1:21" x14ac:dyDescent="0.2">
      <c r="A194" s="139" t="s">
        <v>692</v>
      </c>
      <c r="C194" s="139" t="s">
        <v>264</v>
      </c>
      <c r="D194" s="139">
        <v>4024</v>
      </c>
      <c r="E194" s="139">
        <v>3221</v>
      </c>
      <c r="F194" s="139">
        <v>929</v>
      </c>
      <c r="G194" s="139">
        <v>80</v>
      </c>
      <c r="H194" s="139">
        <v>1642</v>
      </c>
      <c r="I194" s="139">
        <v>1547</v>
      </c>
      <c r="J194" s="139">
        <v>1941</v>
      </c>
      <c r="K194" s="139">
        <v>1005</v>
      </c>
      <c r="L194" s="139">
        <v>1090</v>
      </c>
      <c r="M194" s="139">
        <v>836</v>
      </c>
      <c r="N194" s="139">
        <v>1100000</v>
      </c>
      <c r="O194" s="139">
        <v>792000</v>
      </c>
      <c r="P194" s="139">
        <f t="shared" si="6"/>
        <v>1923.75</v>
      </c>
      <c r="Q194" s="139">
        <f t="shared" si="7"/>
        <v>1410</v>
      </c>
      <c r="R194" s="139">
        <v>11164</v>
      </c>
      <c r="S194" s="139">
        <f t="shared" si="8"/>
        <v>1600471.04</v>
      </c>
      <c r="U194" s="139" t="s">
        <v>264</v>
      </c>
    </row>
    <row r="195" spans="1:21" x14ac:dyDescent="0.2">
      <c r="A195" s="139" t="s">
        <v>692</v>
      </c>
      <c r="C195" s="139" t="s">
        <v>265</v>
      </c>
      <c r="D195" s="139">
        <v>9342</v>
      </c>
      <c r="E195" s="139">
        <v>10951</v>
      </c>
      <c r="F195" s="139">
        <v>3752</v>
      </c>
      <c r="G195" s="139">
        <v>6874</v>
      </c>
      <c r="H195" s="139">
        <v>11659</v>
      </c>
      <c r="I195" s="139">
        <v>11459</v>
      </c>
      <c r="J195" s="139">
        <v>4279</v>
      </c>
      <c r="K195" s="139">
        <v>3251</v>
      </c>
      <c r="L195" s="139">
        <v>8303</v>
      </c>
      <c r="M195" s="139">
        <v>8686</v>
      </c>
      <c r="N195" s="139">
        <v>2415000</v>
      </c>
      <c r="O195" s="139">
        <v>2999000</v>
      </c>
      <c r="P195" s="139">
        <f t="shared" ref="P195:P259" si="9">SUM(D195,F195,H195,N195/1000)/4</f>
        <v>6792</v>
      </c>
      <c r="Q195" s="139">
        <f t="shared" ref="Q195:Q259" si="10">SUM(E195,G195,I195,O195/1000)/4</f>
        <v>8070.75</v>
      </c>
      <c r="R195" s="139">
        <v>46173</v>
      </c>
      <c r="S195" s="139">
        <f t="shared" ref="S195:S258" si="11">R195*143.36</f>
        <v>6619361.2800000003</v>
      </c>
      <c r="U195" s="139" t="s">
        <v>265</v>
      </c>
    </row>
    <row r="196" spans="1:21" x14ac:dyDescent="0.2">
      <c r="A196" s="139" t="s">
        <v>691</v>
      </c>
      <c r="C196" s="139" t="s">
        <v>392</v>
      </c>
      <c r="D196" s="139">
        <v>1140</v>
      </c>
      <c r="E196" s="139">
        <v>1109</v>
      </c>
      <c r="F196" s="139">
        <v>241</v>
      </c>
      <c r="G196" s="139">
        <v>1514</v>
      </c>
      <c r="H196" s="139">
        <v>136</v>
      </c>
      <c r="I196" s="139">
        <v>982</v>
      </c>
      <c r="J196" s="139">
        <v>1145</v>
      </c>
      <c r="K196" s="139">
        <v>1050</v>
      </c>
      <c r="L196" s="139">
        <v>1383</v>
      </c>
      <c r="M196" s="139">
        <v>1523</v>
      </c>
      <c r="N196" s="139">
        <v>1989000</v>
      </c>
      <c r="O196" s="139">
        <v>2143000</v>
      </c>
      <c r="P196" s="139">
        <f t="shared" si="9"/>
        <v>876.5</v>
      </c>
      <c r="Q196" s="139">
        <f t="shared" si="10"/>
        <v>1437</v>
      </c>
      <c r="R196" s="139">
        <v>22713</v>
      </c>
      <c r="S196" s="139">
        <f t="shared" si="11"/>
        <v>3256135.6800000002</v>
      </c>
      <c r="U196" s="139" t="s">
        <v>392</v>
      </c>
    </row>
    <row r="197" spans="1:21" x14ac:dyDescent="0.2">
      <c r="A197" s="139" t="s">
        <v>693</v>
      </c>
      <c r="C197" s="139" t="s">
        <v>207</v>
      </c>
      <c r="D197" s="139">
        <v>1006</v>
      </c>
      <c r="E197" s="139">
        <v>1048</v>
      </c>
      <c r="F197" s="139">
        <v>508</v>
      </c>
      <c r="G197" s="139">
        <v>634</v>
      </c>
      <c r="H197" s="139">
        <v>465</v>
      </c>
      <c r="I197" s="139">
        <v>506</v>
      </c>
      <c r="J197" s="139">
        <v>477</v>
      </c>
      <c r="K197" s="139">
        <v>568</v>
      </c>
      <c r="L197" s="139">
        <v>538</v>
      </c>
      <c r="M197" s="139">
        <v>604</v>
      </c>
      <c r="N197" s="139">
        <v>966000</v>
      </c>
      <c r="O197" s="139">
        <v>1026000</v>
      </c>
      <c r="P197" s="139">
        <f t="shared" si="9"/>
        <v>736.25</v>
      </c>
      <c r="Q197" s="139">
        <f t="shared" si="10"/>
        <v>803.5</v>
      </c>
      <c r="R197" s="139">
        <v>10740</v>
      </c>
      <c r="S197" s="139">
        <f t="shared" si="11"/>
        <v>1539686.4000000001</v>
      </c>
      <c r="U197" s="139" t="s">
        <v>207</v>
      </c>
    </row>
    <row r="198" spans="1:21" x14ac:dyDescent="0.2">
      <c r="A198" s="139" t="s">
        <v>692</v>
      </c>
      <c r="C198" s="139" t="s">
        <v>266</v>
      </c>
      <c r="D198" s="139">
        <v>19967</v>
      </c>
      <c r="E198" s="139">
        <v>24035</v>
      </c>
      <c r="F198" s="139">
        <v>15424</v>
      </c>
      <c r="G198" s="139">
        <v>17261</v>
      </c>
      <c r="H198" s="139">
        <v>6560</v>
      </c>
      <c r="I198" s="139">
        <v>7208</v>
      </c>
      <c r="J198" s="139">
        <v>8401</v>
      </c>
      <c r="K198" s="139">
        <v>8546</v>
      </c>
      <c r="L198" s="139">
        <v>2992</v>
      </c>
      <c r="M198" s="139">
        <v>3240</v>
      </c>
      <c r="N198" s="139">
        <v>5577000</v>
      </c>
      <c r="O198" s="139">
        <v>5740000</v>
      </c>
      <c r="P198" s="139">
        <f t="shared" si="9"/>
        <v>11882</v>
      </c>
      <c r="Q198" s="139">
        <f t="shared" si="10"/>
        <v>13561</v>
      </c>
      <c r="R198" s="139">
        <v>33543</v>
      </c>
      <c r="S198" s="139">
        <f t="shared" si="11"/>
        <v>4808724.4800000004</v>
      </c>
      <c r="U198" s="139" t="s">
        <v>266</v>
      </c>
    </row>
    <row r="199" spans="1:21" x14ac:dyDescent="0.2">
      <c r="A199" s="139" t="s">
        <v>690</v>
      </c>
      <c r="C199" s="139" t="s">
        <v>469</v>
      </c>
      <c r="D199" s="139">
        <v>7545</v>
      </c>
      <c r="E199" s="139">
        <v>8139</v>
      </c>
      <c r="F199" s="139">
        <v>4435</v>
      </c>
      <c r="G199" s="139">
        <v>5672</v>
      </c>
      <c r="H199" s="139">
        <v>4651</v>
      </c>
      <c r="I199" s="139">
        <v>8986</v>
      </c>
      <c r="J199" s="139">
        <v>3209</v>
      </c>
      <c r="K199" s="139">
        <v>4583</v>
      </c>
      <c r="L199" s="139">
        <v>6689</v>
      </c>
      <c r="M199" s="139">
        <v>6883</v>
      </c>
      <c r="N199" s="139">
        <v>21877000</v>
      </c>
      <c r="O199" s="139">
        <v>20424000</v>
      </c>
      <c r="P199" s="139">
        <f t="shared" si="9"/>
        <v>9627</v>
      </c>
      <c r="Q199" s="139">
        <f t="shared" si="10"/>
        <v>10805.25</v>
      </c>
      <c r="R199" s="139">
        <v>23095</v>
      </c>
      <c r="S199" s="139">
        <f t="shared" si="11"/>
        <v>3310899.2000000002</v>
      </c>
      <c r="U199" s="139" t="s">
        <v>469</v>
      </c>
    </row>
    <row r="200" spans="1:21" x14ac:dyDescent="0.2">
      <c r="A200" s="139" t="s">
        <v>692</v>
      </c>
      <c r="C200" s="139" t="s">
        <v>304</v>
      </c>
      <c r="D200" s="139">
        <v>2899</v>
      </c>
      <c r="E200" s="139">
        <v>1495</v>
      </c>
      <c r="F200" s="139">
        <v>0</v>
      </c>
      <c r="G200" s="139">
        <v>0</v>
      </c>
      <c r="H200" s="139">
        <v>0</v>
      </c>
      <c r="I200" s="139">
        <v>0</v>
      </c>
      <c r="J200" s="139">
        <v>0</v>
      </c>
      <c r="K200" s="139">
        <v>0</v>
      </c>
      <c r="L200" s="139">
        <v>0</v>
      </c>
      <c r="M200" s="139">
        <v>0</v>
      </c>
      <c r="N200" s="139">
        <v>0</v>
      </c>
      <c r="O200" s="139">
        <v>0</v>
      </c>
      <c r="P200" s="139">
        <f t="shared" si="9"/>
        <v>724.75</v>
      </c>
      <c r="Q200" s="139">
        <f t="shared" si="10"/>
        <v>373.75</v>
      </c>
      <c r="R200" s="139">
        <v>14207</v>
      </c>
      <c r="S200" s="139">
        <f t="shared" si="11"/>
        <v>2036715.5200000003</v>
      </c>
      <c r="U200" s="139" t="s">
        <v>304</v>
      </c>
    </row>
    <row r="201" spans="1:21" x14ac:dyDescent="0.2">
      <c r="A201" s="139" t="s">
        <v>698</v>
      </c>
      <c r="C201" s="139" t="s">
        <v>185</v>
      </c>
      <c r="D201" s="139">
        <v>1910</v>
      </c>
      <c r="E201" s="139">
        <v>2116</v>
      </c>
      <c r="F201" s="139">
        <v>1054</v>
      </c>
      <c r="G201" s="139">
        <v>2295</v>
      </c>
      <c r="H201" s="139">
        <v>1390</v>
      </c>
      <c r="I201" s="139">
        <v>1847</v>
      </c>
      <c r="J201" s="139">
        <v>1040</v>
      </c>
      <c r="K201" s="139">
        <v>1177</v>
      </c>
      <c r="L201" s="139">
        <v>2348</v>
      </c>
      <c r="M201" s="139">
        <v>2515</v>
      </c>
      <c r="N201" s="139">
        <v>2167000</v>
      </c>
      <c r="O201" s="139">
        <v>2597000</v>
      </c>
      <c r="P201" s="139">
        <f t="shared" si="9"/>
        <v>1630.25</v>
      </c>
      <c r="Q201" s="139">
        <f t="shared" si="10"/>
        <v>2213.75</v>
      </c>
      <c r="R201" s="139">
        <v>9915</v>
      </c>
      <c r="S201" s="139">
        <f t="shared" si="11"/>
        <v>1421414.4000000001</v>
      </c>
      <c r="U201" s="139" t="s">
        <v>185</v>
      </c>
    </row>
    <row r="202" spans="1:21" x14ac:dyDescent="0.2">
      <c r="A202" s="139" t="s">
        <v>695</v>
      </c>
      <c r="C202" s="139" t="s">
        <v>228</v>
      </c>
      <c r="D202" s="139">
        <v>3794</v>
      </c>
      <c r="E202" s="139">
        <v>3627</v>
      </c>
      <c r="F202" s="139">
        <v>3998</v>
      </c>
      <c r="G202" s="139">
        <v>9334</v>
      </c>
      <c r="H202" s="139">
        <v>2852</v>
      </c>
      <c r="I202" s="139">
        <v>2920</v>
      </c>
      <c r="J202" s="139">
        <v>2342</v>
      </c>
      <c r="K202" s="139">
        <v>2897</v>
      </c>
      <c r="L202" s="139">
        <v>2432</v>
      </c>
      <c r="M202" s="139">
        <v>2804</v>
      </c>
      <c r="N202" s="139">
        <v>4360000</v>
      </c>
      <c r="O202" s="139">
        <v>4325000</v>
      </c>
      <c r="P202" s="139">
        <f t="shared" si="9"/>
        <v>3751</v>
      </c>
      <c r="Q202" s="139">
        <f t="shared" si="10"/>
        <v>5051.5</v>
      </c>
      <c r="R202" s="139">
        <v>22480</v>
      </c>
      <c r="S202" s="139">
        <f t="shared" si="11"/>
        <v>3222732.8000000003</v>
      </c>
      <c r="U202" s="139" t="s">
        <v>228</v>
      </c>
    </row>
    <row r="203" spans="1:21" x14ac:dyDescent="0.2">
      <c r="A203" s="139" t="s">
        <v>692</v>
      </c>
      <c r="C203" s="139" t="s">
        <v>267</v>
      </c>
      <c r="D203" s="139">
        <v>5381</v>
      </c>
      <c r="E203" s="139">
        <v>6019</v>
      </c>
      <c r="F203" s="139">
        <v>3553</v>
      </c>
      <c r="G203" s="139">
        <v>5965</v>
      </c>
      <c r="H203" s="139">
        <v>2054</v>
      </c>
      <c r="I203" s="139">
        <v>3147</v>
      </c>
      <c r="J203" s="139">
        <v>3249</v>
      </c>
      <c r="K203" s="139">
        <v>2891</v>
      </c>
      <c r="L203" s="139">
        <v>6139</v>
      </c>
      <c r="M203" s="139">
        <v>6362</v>
      </c>
      <c r="N203" s="139">
        <v>2346000</v>
      </c>
      <c r="O203" s="139">
        <v>2573000</v>
      </c>
      <c r="P203" s="139">
        <f t="shared" si="9"/>
        <v>3333.5</v>
      </c>
      <c r="Q203" s="139">
        <f t="shared" si="10"/>
        <v>4426</v>
      </c>
      <c r="R203" s="139">
        <v>24254</v>
      </c>
      <c r="S203" s="139">
        <f t="shared" si="11"/>
        <v>3477053.4400000004</v>
      </c>
      <c r="U203" s="139" t="s">
        <v>267</v>
      </c>
    </row>
    <row r="204" spans="1:21" x14ac:dyDescent="0.2">
      <c r="A204" s="139" t="s">
        <v>699</v>
      </c>
      <c r="C204" s="139" t="s">
        <v>509</v>
      </c>
      <c r="D204" s="139">
        <v>732</v>
      </c>
      <c r="E204" s="139">
        <v>1227</v>
      </c>
      <c r="F204" s="139">
        <v>3948</v>
      </c>
      <c r="G204" s="139">
        <v>2941</v>
      </c>
      <c r="H204" s="139">
        <v>2635</v>
      </c>
      <c r="I204" s="139">
        <v>2725</v>
      </c>
      <c r="J204" s="139">
        <v>1090</v>
      </c>
      <c r="K204" s="139">
        <v>3254</v>
      </c>
      <c r="L204" s="139">
        <v>1449</v>
      </c>
      <c r="M204" s="139">
        <v>1993</v>
      </c>
      <c r="N204" s="139">
        <v>1773000</v>
      </c>
      <c r="O204" s="139">
        <v>3138000</v>
      </c>
      <c r="P204" s="139">
        <f t="shared" si="9"/>
        <v>2272</v>
      </c>
      <c r="Q204" s="139">
        <f t="shared" si="10"/>
        <v>2507.75</v>
      </c>
      <c r="R204" s="139">
        <v>23773</v>
      </c>
      <c r="S204" s="139">
        <f t="shared" si="11"/>
        <v>3408097.2800000003</v>
      </c>
      <c r="U204" s="139" t="s">
        <v>509</v>
      </c>
    </row>
    <row r="205" spans="1:21" x14ac:dyDescent="0.2">
      <c r="A205" s="139" t="s">
        <v>694</v>
      </c>
      <c r="C205" s="139" t="s">
        <v>393</v>
      </c>
      <c r="D205" s="139">
        <v>5013</v>
      </c>
      <c r="E205" s="139">
        <v>5039</v>
      </c>
      <c r="F205" s="139">
        <v>2902</v>
      </c>
      <c r="G205" s="139">
        <v>3469</v>
      </c>
      <c r="H205" s="139">
        <v>10823</v>
      </c>
      <c r="I205" s="139">
        <v>12443</v>
      </c>
      <c r="J205" s="139">
        <v>6435</v>
      </c>
      <c r="K205" s="139">
        <v>8919</v>
      </c>
      <c r="L205" s="139">
        <v>3797</v>
      </c>
      <c r="M205" s="139">
        <v>4161</v>
      </c>
      <c r="N205" s="139">
        <v>4188000</v>
      </c>
      <c r="O205" s="139">
        <v>4636000</v>
      </c>
      <c r="P205" s="139">
        <f t="shared" si="9"/>
        <v>5731.5</v>
      </c>
      <c r="Q205" s="139">
        <f t="shared" si="10"/>
        <v>6396.75</v>
      </c>
      <c r="R205" s="139">
        <v>32443</v>
      </c>
      <c r="S205" s="139">
        <f t="shared" si="11"/>
        <v>4651028.4800000004</v>
      </c>
      <c r="U205" s="139" t="s">
        <v>393</v>
      </c>
    </row>
    <row r="206" spans="1:21" x14ac:dyDescent="0.2">
      <c r="A206" s="139" t="s">
        <v>699</v>
      </c>
      <c r="C206" s="139" t="s">
        <v>510</v>
      </c>
      <c r="D206" s="139">
        <v>65194</v>
      </c>
      <c r="E206" s="139">
        <v>65200</v>
      </c>
      <c r="F206" s="139">
        <v>4253</v>
      </c>
      <c r="G206" s="139">
        <v>4252</v>
      </c>
      <c r="H206" s="139">
        <v>26611</v>
      </c>
      <c r="I206" s="139">
        <v>26610</v>
      </c>
      <c r="J206" s="139">
        <v>61762</v>
      </c>
      <c r="K206" s="139">
        <v>65322</v>
      </c>
      <c r="L206" s="139">
        <v>112918</v>
      </c>
      <c r="M206" s="139">
        <v>112920</v>
      </c>
      <c r="N206" s="139">
        <v>15402000</v>
      </c>
      <c r="O206" s="139">
        <v>15403000</v>
      </c>
      <c r="P206" s="139">
        <f t="shared" si="9"/>
        <v>27865</v>
      </c>
      <c r="Q206" s="139">
        <f t="shared" si="10"/>
        <v>27866.25</v>
      </c>
      <c r="R206" s="139">
        <v>122798</v>
      </c>
      <c r="S206" s="139">
        <f t="shared" si="11"/>
        <v>17604321.280000001</v>
      </c>
      <c r="U206" s="139" t="s">
        <v>510</v>
      </c>
    </row>
    <row r="207" spans="1:21" x14ac:dyDescent="0.2">
      <c r="A207" s="139" t="s">
        <v>698</v>
      </c>
      <c r="C207" s="139" t="s">
        <v>186</v>
      </c>
      <c r="D207" s="139">
        <v>974</v>
      </c>
      <c r="E207" s="139">
        <v>790</v>
      </c>
      <c r="F207" s="139">
        <v>1113</v>
      </c>
      <c r="G207" s="139">
        <v>996</v>
      </c>
      <c r="H207" s="139">
        <v>1022</v>
      </c>
      <c r="I207" s="139">
        <v>1564</v>
      </c>
      <c r="J207" s="139">
        <v>468</v>
      </c>
      <c r="K207" s="139">
        <v>461</v>
      </c>
      <c r="L207" s="139">
        <v>1017</v>
      </c>
      <c r="M207" s="139">
        <v>1023</v>
      </c>
      <c r="N207" s="139">
        <v>1275000</v>
      </c>
      <c r="O207" s="139">
        <v>836000</v>
      </c>
      <c r="P207" s="139">
        <f t="shared" si="9"/>
        <v>1096</v>
      </c>
      <c r="Q207" s="139">
        <f t="shared" si="10"/>
        <v>1046.5</v>
      </c>
      <c r="R207" s="139">
        <v>10394</v>
      </c>
      <c r="S207" s="139">
        <f t="shared" si="11"/>
        <v>1490083.8400000001</v>
      </c>
      <c r="U207" s="139" t="s">
        <v>186</v>
      </c>
    </row>
    <row r="208" spans="1:21" x14ac:dyDescent="0.2">
      <c r="A208" s="139" t="s">
        <v>691</v>
      </c>
      <c r="C208" s="139" t="s">
        <v>347</v>
      </c>
      <c r="D208" s="139">
        <v>6410</v>
      </c>
      <c r="E208" s="139">
        <v>4184</v>
      </c>
      <c r="F208" s="139">
        <v>10304</v>
      </c>
      <c r="G208" s="139">
        <v>10614</v>
      </c>
      <c r="H208" s="139">
        <v>5961</v>
      </c>
      <c r="I208" s="139">
        <v>8495</v>
      </c>
      <c r="J208" s="139">
        <v>6155</v>
      </c>
      <c r="K208" s="139">
        <v>4598</v>
      </c>
      <c r="L208" s="139">
        <v>6056</v>
      </c>
      <c r="M208" s="139">
        <v>4690</v>
      </c>
      <c r="N208" s="139">
        <v>8464000</v>
      </c>
      <c r="O208" s="139">
        <v>6365000</v>
      </c>
      <c r="P208" s="139">
        <f t="shared" si="9"/>
        <v>7784.75</v>
      </c>
      <c r="Q208" s="139">
        <f t="shared" si="10"/>
        <v>7414.5</v>
      </c>
      <c r="R208" s="139">
        <v>44058</v>
      </c>
      <c r="S208" s="139">
        <f t="shared" si="11"/>
        <v>6316154.8800000008</v>
      </c>
      <c r="U208" s="139" t="s">
        <v>347</v>
      </c>
    </row>
    <row r="209" spans="1:21" ht="13.15" customHeight="1" x14ac:dyDescent="0.2">
      <c r="A209" s="139" t="s">
        <v>699</v>
      </c>
      <c r="C209" s="139" t="s">
        <v>511</v>
      </c>
      <c r="D209" s="139">
        <v>1195</v>
      </c>
      <c r="E209" s="139">
        <v>1328</v>
      </c>
      <c r="F209" s="139">
        <v>1276</v>
      </c>
      <c r="G209" s="139">
        <v>1441</v>
      </c>
      <c r="H209" s="139">
        <v>712</v>
      </c>
      <c r="I209" s="139">
        <v>604</v>
      </c>
      <c r="J209" s="139">
        <v>1102</v>
      </c>
      <c r="K209" s="139">
        <v>1436</v>
      </c>
      <c r="L209" s="139">
        <v>617</v>
      </c>
      <c r="M209" s="139">
        <v>434</v>
      </c>
      <c r="N209" s="139">
        <v>735000</v>
      </c>
      <c r="O209" s="139">
        <v>894000</v>
      </c>
      <c r="P209" s="139">
        <f t="shared" si="9"/>
        <v>979.5</v>
      </c>
      <c r="Q209" s="139">
        <f t="shared" si="10"/>
        <v>1066.75</v>
      </c>
      <c r="R209" s="139">
        <v>19068</v>
      </c>
      <c r="S209" s="139">
        <f t="shared" si="11"/>
        <v>2733588.4800000004</v>
      </c>
      <c r="U209" s="139" t="s">
        <v>511</v>
      </c>
    </row>
    <row r="210" spans="1:21" x14ac:dyDescent="0.2">
      <c r="A210" s="139" t="s">
        <v>690</v>
      </c>
      <c r="C210" s="139" t="s">
        <v>876</v>
      </c>
      <c r="D210" s="139">
        <v>40561</v>
      </c>
      <c r="E210" s="139">
        <v>39904</v>
      </c>
      <c r="F210" s="139">
        <v>30575</v>
      </c>
      <c r="G210" s="139">
        <v>31278</v>
      </c>
      <c r="H210" s="139">
        <v>17059</v>
      </c>
      <c r="I210" s="139">
        <v>26530</v>
      </c>
      <c r="J210" s="139">
        <v>38402</v>
      </c>
      <c r="K210" s="139">
        <v>38863</v>
      </c>
      <c r="L210" s="139">
        <v>18678</v>
      </c>
      <c r="M210" s="139">
        <v>55622</v>
      </c>
      <c r="N210" s="139">
        <v>18380000</v>
      </c>
      <c r="O210" s="139">
        <v>16448000</v>
      </c>
      <c r="P210" s="139">
        <f t="shared" si="9"/>
        <v>26643.75</v>
      </c>
      <c r="Q210" s="139">
        <f t="shared" si="10"/>
        <v>28540</v>
      </c>
      <c r="R210" s="139">
        <v>79835</v>
      </c>
      <c r="S210" s="139">
        <f t="shared" si="11"/>
        <v>11445145.600000001</v>
      </c>
      <c r="U210" s="139" t="s">
        <v>876</v>
      </c>
    </row>
    <row r="211" spans="1:21" ht="13.15" customHeight="1" x14ac:dyDescent="0.2">
      <c r="A211" s="139" t="s">
        <v>693</v>
      </c>
      <c r="C211" s="139" t="s">
        <v>208</v>
      </c>
      <c r="D211" s="139">
        <v>1081</v>
      </c>
      <c r="E211" s="139">
        <v>1133</v>
      </c>
      <c r="F211" s="139">
        <v>433</v>
      </c>
      <c r="G211" s="139">
        <v>467</v>
      </c>
      <c r="H211" s="139">
        <v>2070</v>
      </c>
      <c r="I211" s="139">
        <v>2026</v>
      </c>
      <c r="J211" s="139">
        <v>1644</v>
      </c>
      <c r="K211" s="139">
        <v>1664</v>
      </c>
      <c r="L211" s="139">
        <v>162</v>
      </c>
      <c r="M211" s="139">
        <v>187</v>
      </c>
      <c r="N211" s="139">
        <v>139000</v>
      </c>
      <c r="O211" s="139">
        <v>168000</v>
      </c>
      <c r="P211" s="139">
        <f t="shared" si="9"/>
        <v>930.75</v>
      </c>
      <c r="Q211" s="139">
        <f t="shared" si="10"/>
        <v>948.5</v>
      </c>
      <c r="R211" s="139">
        <v>13452</v>
      </c>
      <c r="S211" s="139">
        <f t="shared" si="11"/>
        <v>1928478.7200000002</v>
      </c>
      <c r="U211" s="139" t="s">
        <v>208</v>
      </c>
    </row>
    <row r="212" spans="1:21" x14ac:dyDescent="0.2">
      <c r="A212" s="139" t="s">
        <v>698</v>
      </c>
      <c r="C212" s="139" t="s">
        <v>187</v>
      </c>
      <c r="D212" s="139">
        <v>1035</v>
      </c>
      <c r="E212" s="139">
        <v>1038</v>
      </c>
      <c r="F212" s="139">
        <v>643</v>
      </c>
      <c r="G212" s="139">
        <v>652</v>
      </c>
      <c r="H212" s="139">
        <v>413</v>
      </c>
      <c r="I212" s="139">
        <v>418</v>
      </c>
      <c r="J212" s="139">
        <v>215</v>
      </c>
      <c r="K212" s="139">
        <v>271</v>
      </c>
      <c r="L212" s="139">
        <v>112</v>
      </c>
      <c r="M212" s="139">
        <v>913</v>
      </c>
      <c r="N212" s="139">
        <v>78000</v>
      </c>
      <c r="O212" s="139">
        <v>95000</v>
      </c>
      <c r="P212" s="139">
        <f t="shared" si="9"/>
        <v>542.25</v>
      </c>
      <c r="Q212" s="139">
        <f t="shared" si="10"/>
        <v>550.75</v>
      </c>
      <c r="R212" s="139">
        <v>12168</v>
      </c>
      <c r="S212" s="139">
        <f t="shared" si="11"/>
        <v>1744404.4800000002</v>
      </c>
      <c r="U212" s="139" t="s">
        <v>187</v>
      </c>
    </row>
    <row r="213" spans="1:21" x14ac:dyDescent="0.2">
      <c r="A213" s="139" t="s">
        <v>689</v>
      </c>
      <c r="C213" s="139" t="s">
        <v>167</v>
      </c>
      <c r="D213" s="139">
        <v>12571</v>
      </c>
      <c r="E213" s="139">
        <v>16483</v>
      </c>
      <c r="F213" s="139">
        <v>8240</v>
      </c>
      <c r="G213" s="139">
        <v>11623</v>
      </c>
      <c r="H213" s="139">
        <v>11561</v>
      </c>
      <c r="I213" s="139">
        <v>27455</v>
      </c>
      <c r="J213" s="139">
        <v>4061</v>
      </c>
      <c r="K213" s="139">
        <v>4363</v>
      </c>
      <c r="L213" s="139">
        <v>5078</v>
      </c>
      <c r="M213" s="139">
        <v>4816</v>
      </c>
      <c r="N213" s="139">
        <v>4155000</v>
      </c>
      <c r="O213" s="139">
        <v>4698000</v>
      </c>
      <c r="P213" s="139">
        <f t="shared" si="9"/>
        <v>9131.75</v>
      </c>
      <c r="Q213" s="139">
        <f t="shared" si="10"/>
        <v>15064.75</v>
      </c>
      <c r="R213" s="139">
        <v>33016</v>
      </c>
      <c r="S213" s="139">
        <f t="shared" si="11"/>
        <v>4733173.7600000007</v>
      </c>
      <c r="U213" s="139" t="s">
        <v>167</v>
      </c>
    </row>
    <row r="214" spans="1:21" x14ac:dyDescent="0.2">
      <c r="A214" s="139" t="s">
        <v>701</v>
      </c>
      <c r="C214" s="139" t="s">
        <v>425</v>
      </c>
      <c r="D214" s="139">
        <v>16564</v>
      </c>
      <c r="E214" s="139">
        <v>18524</v>
      </c>
      <c r="F214" s="139">
        <v>18442</v>
      </c>
      <c r="G214" s="139">
        <v>19309</v>
      </c>
      <c r="H214" s="139">
        <v>31249</v>
      </c>
      <c r="I214" s="139">
        <v>41305</v>
      </c>
      <c r="J214" s="139">
        <v>10056</v>
      </c>
      <c r="K214" s="139">
        <v>14301</v>
      </c>
      <c r="L214" s="139">
        <v>10967</v>
      </c>
      <c r="M214" s="139">
        <v>11958</v>
      </c>
      <c r="N214" s="139">
        <v>9236000</v>
      </c>
      <c r="O214" s="139">
        <v>9081000</v>
      </c>
      <c r="P214" s="139">
        <f t="shared" si="9"/>
        <v>18872.75</v>
      </c>
      <c r="Q214" s="139">
        <f t="shared" si="10"/>
        <v>22054.75</v>
      </c>
      <c r="R214" s="139">
        <v>48025</v>
      </c>
      <c r="S214" s="139">
        <f t="shared" si="11"/>
        <v>6884864.0000000009</v>
      </c>
      <c r="U214" s="139" t="s">
        <v>425</v>
      </c>
    </row>
    <row r="215" spans="1:21" x14ac:dyDescent="0.2">
      <c r="A215" s="139" t="s">
        <v>689</v>
      </c>
      <c r="C215" s="139" t="s">
        <v>394</v>
      </c>
      <c r="D215" s="139">
        <v>14357</v>
      </c>
      <c r="E215" s="139">
        <v>14673</v>
      </c>
      <c r="F215" s="139">
        <v>15943</v>
      </c>
      <c r="G215" s="139">
        <v>17488</v>
      </c>
      <c r="H215" s="139">
        <v>2649</v>
      </c>
      <c r="I215" s="139">
        <v>7889</v>
      </c>
      <c r="J215" s="139">
        <v>14484</v>
      </c>
      <c r="K215" s="139">
        <v>14680</v>
      </c>
      <c r="L215" s="139">
        <v>4912</v>
      </c>
      <c r="M215" s="139">
        <v>10538</v>
      </c>
      <c r="N215" s="139">
        <v>3144000</v>
      </c>
      <c r="O215" s="139">
        <v>3982000</v>
      </c>
      <c r="P215" s="139">
        <f t="shared" si="9"/>
        <v>9023.25</v>
      </c>
      <c r="Q215" s="139">
        <f t="shared" si="10"/>
        <v>11008</v>
      </c>
      <c r="R215" s="139">
        <v>19034</v>
      </c>
      <c r="S215" s="139">
        <f t="shared" si="11"/>
        <v>2728714.2400000002</v>
      </c>
      <c r="U215" s="139" t="s">
        <v>394</v>
      </c>
    </row>
    <row r="216" spans="1:21" x14ac:dyDescent="0.2">
      <c r="A216" s="139" t="s">
        <v>694</v>
      </c>
      <c r="C216" s="139" t="s">
        <v>168</v>
      </c>
      <c r="D216" s="139">
        <v>2343</v>
      </c>
      <c r="E216" s="139">
        <v>1642</v>
      </c>
      <c r="F216" s="139">
        <v>2851</v>
      </c>
      <c r="G216" s="139">
        <v>2517</v>
      </c>
      <c r="H216" s="139">
        <v>3269</v>
      </c>
      <c r="I216" s="139">
        <v>4996</v>
      </c>
      <c r="J216" s="139">
        <v>1449</v>
      </c>
      <c r="K216" s="139">
        <v>1985</v>
      </c>
      <c r="L216" s="139">
        <v>1966</v>
      </c>
      <c r="M216" s="139">
        <v>2008</v>
      </c>
      <c r="N216" s="139">
        <v>2855000</v>
      </c>
      <c r="O216" s="139">
        <v>2860000</v>
      </c>
      <c r="P216" s="139">
        <f t="shared" si="9"/>
        <v>2829.5</v>
      </c>
      <c r="Q216" s="139">
        <f t="shared" si="10"/>
        <v>3003.75</v>
      </c>
      <c r="R216" s="139">
        <v>33411</v>
      </c>
      <c r="S216" s="139">
        <f t="shared" si="11"/>
        <v>4789800.9600000009</v>
      </c>
      <c r="U216" s="139" t="s">
        <v>168</v>
      </c>
    </row>
    <row r="217" spans="1:21" x14ac:dyDescent="0.2">
      <c r="A217" s="139" t="s">
        <v>699</v>
      </c>
      <c r="C217" s="139" t="s">
        <v>470</v>
      </c>
      <c r="D217" s="139">
        <v>1258</v>
      </c>
      <c r="E217" s="139">
        <v>621</v>
      </c>
      <c r="F217" s="139">
        <v>539</v>
      </c>
      <c r="G217" s="139">
        <v>374</v>
      </c>
      <c r="H217" s="139">
        <v>1234</v>
      </c>
      <c r="I217" s="139">
        <v>1098</v>
      </c>
      <c r="J217" s="139">
        <v>891</v>
      </c>
      <c r="K217" s="139">
        <v>803</v>
      </c>
      <c r="L217" s="139">
        <v>0</v>
      </c>
      <c r="M217" s="139">
        <v>133</v>
      </c>
      <c r="N217" s="139">
        <v>0</v>
      </c>
      <c r="O217" s="139">
        <v>-248000</v>
      </c>
      <c r="P217" s="139">
        <f t="shared" si="9"/>
        <v>757.75</v>
      </c>
      <c r="Q217" s="139">
        <f t="shared" si="10"/>
        <v>461.25</v>
      </c>
      <c r="R217" s="139">
        <v>10807</v>
      </c>
      <c r="S217" s="139">
        <f t="shared" si="11"/>
        <v>1549291.5200000003</v>
      </c>
      <c r="U217" s="139" t="s">
        <v>470</v>
      </c>
    </row>
    <row r="218" spans="1:21" x14ac:dyDescent="0.2">
      <c r="A218" s="139" t="s">
        <v>690</v>
      </c>
      <c r="C218" s="139" t="s">
        <v>471</v>
      </c>
      <c r="D218" s="139">
        <v>16544</v>
      </c>
      <c r="E218" s="139">
        <v>17371</v>
      </c>
      <c r="F218" s="139">
        <v>7314</v>
      </c>
      <c r="G218" s="139">
        <v>5657</v>
      </c>
      <c r="H218" s="139">
        <v>13804</v>
      </c>
      <c r="I218" s="139">
        <v>13907</v>
      </c>
      <c r="J218" s="139">
        <v>3717</v>
      </c>
      <c r="K218" s="139">
        <v>4811</v>
      </c>
      <c r="L218" s="139">
        <v>1552</v>
      </c>
      <c r="M218" s="139">
        <v>3287</v>
      </c>
      <c r="N218" s="139">
        <v>3622000</v>
      </c>
      <c r="O218" s="139">
        <v>10234000</v>
      </c>
      <c r="P218" s="139">
        <f t="shared" si="9"/>
        <v>10321</v>
      </c>
      <c r="Q218" s="139">
        <f t="shared" si="10"/>
        <v>11792.25</v>
      </c>
      <c r="R218" s="139">
        <v>36945</v>
      </c>
      <c r="S218" s="139">
        <f t="shared" si="11"/>
        <v>5296435.2000000002</v>
      </c>
      <c r="U218" s="139" t="s">
        <v>471</v>
      </c>
    </row>
    <row r="219" spans="1:21" x14ac:dyDescent="0.2">
      <c r="A219" s="139" t="s">
        <v>694</v>
      </c>
      <c r="C219" s="139" t="s">
        <v>395</v>
      </c>
      <c r="D219" s="139">
        <v>7793</v>
      </c>
      <c r="E219" s="139">
        <v>7982</v>
      </c>
      <c r="F219" s="139">
        <v>12666</v>
      </c>
      <c r="G219" s="139">
        <v>10344</v>
      </c>
      <c r="H219" s="139">
        <v>6299</v>
      </c>
      <c r="I219" s="139">
        <v>5895</v>
      </c>
      <c r="J219" s="139">
        <v>6243</v>
      </c>
      <c r="K219" s="139">
        <v>8834</v>
      </c>
      <c r="L219" s="139">
        <v>6968</v>
      </c>
      <c r="M219" s="139">
        <v>8246</v>
      </c>
      <c r="N219" s="139">
        <v>7616000</v>
      </c>
      <c r="O219" s="139">
        <v>6113000</v>
      </c>
      <c r="P219" s="139">
        <f t="shared" si="9"/>
        <v>8593.5</v>
      </c>
      <c r="Q219" s="139">
        <f t="shared" si="10"/>
        <v>7583.5</v>
      </c>
      <c r="R219" s="139">
        <v>29206</v>
      </c>
      <c r="S219" s="139">
        <f t="shared" si="11"/>
        <v>4186972.1600000006</v>
      </c>
      <c r="U219" s="139" t="s">
        <v>395</v>
      </c>
    </row>
    <row r="220" spans="1:21" x14ac:dyDescent="0.2">
      <c r="A220" s="139" t="s">
        <v>692</v>
      </c>
      <c r="C220" s="139" t="s">
        <v>268</v>
      </c>
      <c r="D220" s="139">
        <v>12566</v>
      </c>
      <c r="E220" s="139">
        <v>10655</v>
      </c>
      <c r="F220" s="139">
        <v>8917</v>
      </c>
      <c r="G220" s="139">
        <v>7933</v>
      </c>
      <c r="H220" s="139">
        <v>4473</v>
      </c>
      <c r="I220" s="139">
        <v>4995</v>
      </c>
      <c r="J220" s="139">
        <v>13899</v>
      </c>
      <c r="K220" s="139">
        <v>16086</v>
      </c>
      <c r="L220" s="139">
        <v>6862</v>
      </c>
      <c r="M220" s="139">
        <v>8089</v>
      </c>
      <c r="N220" s="139">
        <v>5356000</v>
      </c>
      <c r="O220" s="139">
        <v>4716000</v>
      </c>
      <c r="P220" s="139">
        <f t="shared" si="9"/>
        <v>7828</v>
      </c>
      <c r="Q220" s="139">
        <f t="shared" si="10"/>
        <v>7074.75</v>
      </c>
      <c r="R220" s="139">
        <v>35311</v>
      </c>
      <c r="S220" s="139">
        <f t="shared" si="11"/>
        <v>5062184.9600000009</v>
      </c>
      <c r="U220" s="139" t="s">
        <v>268</v>
      </c>
    </row>
    <row r="221" spans="1:21" x14ac:dyDescent="0.2">
      <c r="A221" s="139" t="s">
        <v>697</v>
      </c>
      <c r="C221" s="139" t="s">
        <v>541</v>
      </c>
      <c r="D221" s="139">
        <v>7578</v>
      </c>
      <c r="E221" s="139">
        <v>8107</v>
      </c>
      <c r="F221" s="139">
        <v>7223</v>
      </c>
      <c r="G221" s="139">
        <v>6889</v>
      </c>
      <c r="H221" s="139">
        <v>3082</v>
      </c>
      <c r="I221" s="139">
        <v>3477</v>
      </c>
      <c r="J221" s="139">
        <v>3000</v>
      </c>
      <c r="K221" s="139">
        <v>3125</v>
      </c>
      <c r="L221" s="139">
        <v>8321</v>
      </c>
      <c r="M221" s="139">
        <v>5528</v>
      </c>
      <c r="N221" s="139">
        <v>9781000</v>
      </c>
      <c r="O221" s="139">
        <v>9192000</v>
      </c>
      <c r="P221" s="139">
        <f t="shared" si="9"/>
        <v>6916</v>
      </c>
      <c r="Q221" s="139">
        <f t="shared" si="10"/>
        <v>6916.25</v>
      </c>
      <c r="R221" s="139">
        <v>13867</v>
      </c>
      <c r="S221" s="139">
        <f t="shared" si="11"/>
        <v>1987973.1200000001</v>
      </c>
      <c r="U221" s="139" t="s">
        <v>541</v>
      </c>
    </row>
    <row r="222" spans="1:21" x14ac:dyDescent="0.2">
      <c r="A222" s="139" t="s">
        <v>699</v>
      </c>
      <c r="C222" s="139" t="s">
        <v>512</v>
      </c>
      <c r="D222" s="139">
        <v>34</v>
      </c>
      <c r="E222" s="139">
        <v>279</v>
      </c>
      <c r="F222" s="139">
        <v>1754</v>
      </c>
      <c r="G222" s="139">
        <v>108</v>
      </c>
      <c r="H222" s="139">
        <v>13</v>
      </c>
      <c r="I222" s="139">
        <v>51</v>
      </c>
      <c r="J222" s="139">
        <v>0</v>
      </c>
      <c r="K222" s="139">
        <v>38</v>
      </c>
      <c r="L222" s="139">
        <v>4</v>
      </c>
      <c r="M222" s="139">
        <v>34</v>
      </c>
      <c r="N222" s="139">
        <v>505000</v>
      </c>
      <c r="O222" s="139">
        <v>563000</v>
      </c>
      <c r="P222" s="139">
        <f t="shared" si="9"/>
        <v>576.5</v>
      </c>
      <c r="Q222" s="139">
        <f t="shared" si="10"/>
        <v>250.25</v>
      </c>
      <c r="R222" s="139">
        <v>7770</v>
      </c>
      <c r="S222" s="139">
        <f t="shared" si="11"/>
        <v>1113907.2000000002</v>
      </c>
      <c r="U222" s="139" t="s">
        <v>512</v>
      </c>
    </row>
    <row r="223" spans="1:21" x14ac:dyDescent="0.2">
      <c r="A223" s="139" t="s">
        <v>692</v>
      </c>
      <c r="C223" s="139" t="s">
        <v>269</v>
      </c>
      <c r="D223" s="139">
        <v>5323</v>
      </c>
      <c r="E223" s="139">
        <v>4859</v>
      </c>
      <c r="F223" s="139">
        <v>7922</v>
      </c>
      <c r="G223" s="139">
        <v>8161</v>
      </c>
      <c r="H223" s="139">
        <v>5843</v>
      </c>
      <c r="I223" s="139">
        <v>6415</v>
      </c>
      <c r="J223" s="139">
        <v>3248</v>
      </c>
      <c r="K223" s="139">
        <v>4329</v>
      </c>
      <c r="L223" s="139">
        <v>7097</v>
      </c>
      <c r="M223" s="139">
        <v>10018</v>
      </c>
      <c r="N223" s="139">
        <v>3946000</v>
      </c>
      <c r="O223" s="139">
        <v>5338000</v>
      </c>
      <c r="P223" s="139">
        <f t="shared" si="9"/>
        <v>5758.5</v>
      </c>
      <c r="Q223" s="139">
        <f t="shared" si="10"/>
        <v>6193.25</v>
      </c>
      <c r="R223" s="139">
        <v>23301</v>
      </c>
      <c r="S223" s="139">
        <f t="shared" si="11"/>
        <v>3340431.3600000003</v>
      </c>
      <c r="U223" s="139" t="s">
        <v>269</v>
      </c>
    </row>
    <row r="224" spans="1:21" x14ac:dyDescent="0.2">
      <c r="A224" s="139" t="s">
        <v>699</v>
      </c>
      <c r="C224" s="139" t="s">
        <v>513</v>
      </c>
      <c r="D224" s="139">
        <v>5052</v>
      </c>
      <c r="E224" s="139">
        <v>4080</v>
      </c>
      <c r="F224" s="139">
        <v>9676</v>
      </c>
      <c r="G224" s="139">
        <v>10522</v>
      </c>
      <c r="H224" s="139">
        <v>6721</v>
      </c>
      <c r="I224" s="139">
        <v>6523</v>
      </c>
      <c r="J224" s="139">
        <v>3508</v>
      </c>
      <c r="K224" s="139">
        <v>4161</v>
      </c>
      <c r="L224" s="139">
        <v>3380</v>
      </c>
      <c r="M224" s="139">
        <v>5848</v>
      </c>
      <c r="N224" s="139">
        <v>4603000</v>
      </c>
      <c r="O224" s="139">
        <v>5054000</v>
      </c>
      <c r="P224" s="139">
        <f t="shared" si="9"/>
        <v>6513</v>
      </c>
      <c r="Q224" s="139">
        <f t="shared" si="10"/>
        <v>6544.75</v>
      </c>
      <c r="R224" s="139">
        <v>16857</v>
      </c>
      <c r="S224" s="139">
        <f t="shared" si="11"/>
        <v>2416619.52</v>
      </c>
      <c r="U224" s="139" t="s">
        <v>513</v>
      </c>
    </row>
    <row r="225" spans="1:21" x14ac:dyDescent="0.2">
      <c r="A225" s="139" t="s">
        <v>692</v>
      </c>
      <c r="C225" s="139" t="s">
        <v>270</v>
      </c>
      <c r="D225" s="139">
        <v>2803</v>
      </c>
      <c r="E225" s="139">
        <v>3619</v>
      </c>
      <c r="F225" s="139">
        <v>1587</v>
      </c>
      <c r="G225" s="139">
        <v>839</v>
      </c>
      <c r="H225" s="139">
        <v>2678</v>
      </c>
      <c r="I225" s="139">
        <v>5133</v>
      </c>
      <c r="J225" s="139">
        <v>372</v>
      </c>
      <c r="K225" s="139">
        <v>474</v>
      </c>
      <c r="L225" s="139">
        <v>537</v>
      </c>
      <c r="M225" s="139">
        <v>691</v>
      </c>
      <c r="N225" s="139">
        <v>1046000</v>
      </c>
      <c r="O225" s="139">
        <v>1250000</v>
      </c>
      <c r="P225" s="139">
        <f t="shared" si="9"/>
        <v>2028.5</v>
      </c>
      <c r="Q225" s="139">
        <f t="shared" si="10"/>
        <v>2710.25</v>
      </c>
      <c r="R225" s="139">
        <v>12342</v>
      </c>
      <c r="S225" s="139">
        <f t="shared" si="11"/>
        <v>1769349.1200000001</v>
      </c>
      <c r="U225" s="139" t="s">
        <v>270</v>
      </c>
    </row>
    <row r="226" spans="1:21" x14ac:dyDescent="0.2">
      <c r="A226" s="139" t="s">
        <v>697</v>
      </c>
      <c r="C226" s="139" t="s">
        <v>305</v>
      </c>
      <c r="D226" s="139">
        <v>42800</v>
      </c>
      <c r="E226" s="139">
        <v>40736</v>
      </c>
      <c r="F226" s="139">
        <v>63766</v>
      </c>
      <c r="G226" s="139">
        <v>63262</v>
      </c>
      <c r="H226" s="139">
        <v>49930</v>
      </c>
      <c r="I226" s="139">
        <v>46724</v>
      </c>
      <c r="J226" s="139">
        <v>27718</v>
      </c>
      <c r="K226" s="139">
        <v>24304</v>
      </c>
      <c r="L226" s="139">
        <v>40391</v>
      </c>
      <c r="M226" s="139">
        <v>39526</v>
      </c>
      <c r="N226" s="139">
        <v>20670000</v>
      </c>
      <c r="O226" s="139">
        <v>17097000</v>
      </c>
      <c r="P226" s="139">
        <f t="shared" si="9"/>
        <v>44291.5</v>
      </c>
      <c r="Q226" s="139">
        <f t="shared" si="10"/>
        <v>41954.75</v>
      </c>
      <c r="R226" s="139">
        <v>61865</v>
      </c>
      <c r="S226" s="139">
        <f t="shared" si="11"/>
        <v>8868966.4000000004</v>
      </c>
      <c r="U226" s="139" t="s">
        <v>305</v>
      </c>
    </row>
    <row r="227" spans="1:21" x14ac:dyDescent="0.2">
      <c r="A227" s="139" t="s">
        <v>697</v>
      </c>
      <c r="C227" s="139" t="s">
        <v>396</v>
      </c>
      <c r="D227" s="139">
        <v>39445</v>
      </c>
      <c r="E227" s="139">
        <v>44611</v>
      </c>
      <c r="F227" s="139">
        <v>19371</v>
      </c>
      <c r="G227" s="139">
        <v>22483</v>
      </c>
      <c r="H227" s="139">
        <v>23280</v>
      </c>
      <c r="I227" s="139">
        <v>40608</v>
      </c>
      <c r="J227" s="139">
        <v>40707</v>
      </c>
      <c r="K227" s="139">
        <v>46072</v>
      </c>
      <c r="L227" s="139">
        <v>35927</v>
      </c>
      <c r="M227" s="139">
        <v>34576</v>
      </c>
      <c r="N227" s="139">
        <v>31699000</v>
      </c>
      <c r="O227" s="139">
        <v>58033000</v>
      </c>
      <c r="P227" s="139">
        <f t="shared" si="9"/>
        <v>28448.75</v>
      </c>
      <c r="Q227" s="139">
        <f t="shared" si="10"/>
        <v>41433.75</v>
      </c>
      <c r="R227" s="139">
        <v>27914</v>
      </c>
      <c r="S227" s="139">
        <f t="shared" si="11"/>
        <v>4001751.0400000005</v>
      </c>
      <c r="U227" s="139" t="s">
        <v>396</v>
      </c>
    </row>
    <row r="228" spans="1:21" x14ac:dyDescent="0.2">
      <c r="A228" s="139" t="s">
        <v>692</v>
      </c>
      <c r="C228" s="139" t="s">
        <v>271</v>
      </c>
      <c r="D228" s="139">
        <v>21637</v>
      </c>
      <c r="E228" s="139">
        <v>23727</v>
      </c>
      <c r="F228" s="139">
        <v>12806</v>
      </c>
      <c r="G228" s="139">
        <v>9973</v>
      </c>
      <c r="H228" s="139">
        <v>11890</v>
      </c>
      <c r="I228" s="139">
        <v>26441</v>
      </c>
      <c r="J228" s="139">
        <v>9019</v>
      </c>
      <c r="K228" s="139">
        <v>9626</v>
      </c>
      <c r="L228" s="139">
        <v>14203</v>
      </c>
      <c r="M228" s="139">
        <v>6191</v>
      </c>
      <c r="N228" s="139">
        <v>16635000</v>
      </c>
      <c r="O228" s="139">
        <v>11261000</v>
      </c>
      <c r="P228" s="139">
        <f t="shared" si="9"/>
        <v>15742</v>
      </c>
      <c r="Q228" s="139">
        <f t="shared" si="10"/>
        <v>17850.5</v>
      </c>
      <c r="R228" s="139">
        <v>41763</v>
      </c>
      <c r="S228" s="139">
        <f t="shared" si="11"/>
        <v>5987143.6800000006</v>
      </c>
      <c r="U228" s="139" t="s">
        <v>271</v>
      </c>
    </row>
    <row r="229" spans="1:21" x14ac:dyDescent="0.2">
      <c r="A229" s="139" t="s">
        <v>692</v>
      </c>
      <c r="C229" s="139" t="s">
        <v>272</v>
      </c>
      <c r="D229" s="139">
        <v>335668</v>
      </c>
      <c r="E229" s="139">
        <v>340665</v>
      </c>
      <c r="F229" s="139">
        <v>289913</v>
      </c>
      <c r="G229" s="139">
        <v>313366</v>
      </c>
      <c r="H229" s="139">
        <v>169908</v>
      </c>
      <c r="I229" s="139">
        <v>192499</v>
      </c>
      <c r="J229" s="139">
        <v>272592</v>
      </c>
      <c r="K229" s="139">
        <v>305648</v>
      </c>
      <c r="L229" s="139">
        <v>398588</v>
      </c>
      <c r="M229" s="139">
        <v>411949</v>
      </c>
      <c r="N229" s="139">
        <v>138908000</v>
      </c>
      <c r="O229" s="139">
        <v>158604000</v>
      </c>
      <c r="P229" s="139">
        <f t="shared" si="9"/>
        <v>233599.25</v>
      </c>
      <c r="Q229" s="139">
        <f t="shared" si="10"/>
        <v>251283.5</v>
      </c>
      <c r="R229" s="139">
        <v>173592</v>
      </c>
      <c r="S229" s="139">
        <f t="shared" si="11"/>
        <v>24886149.120000001</v>
      </c>
      <c r="U229" s="139" t="s">
        <v>272</v>
      </c>
    </row>
    <row r="230" spans="1:21" x14ac:dyDescent="0.2">
      <c r="A230" s="139" t="s">
        <v>694</v>
      </c>
      <c r="C230" s="139" t="s">
        <v>596</v>
      </c>
      <c r="D230" s="139">
        <v>36433</v>
      </c>
      <c r="E230" s="139">
        <v>44468</v>
      </c>
      <c r="F230" s="139">
        <v>39785</v>
      </c>
      <c r="G230" s="139">
        <v>30987</v>
      </c>
      <c r="H230" s="139">
        <v>40685</v>
      </c>
      <c r="I230" s="139">
        <v>73872</v>
      </c>
      <c r="J230" s="139">
        <v>67381</v>
      </c>
      <c r="K230" s="139">
        <v>52193</v>
      </c>
      <c r="L230" s="139">
        <v>12832</v>
      </c>
      <c r="M230" s="139">
        <v>22132</v>
      </c>
      <c r="N230" s="139">
        <v>19983000</v>
      </c>
      <c r="O230" s="139">
        <v>36707000</v>
      </c>
      <c r="P230" s="139">
        <f t="shared" si="9"/>
        <v>34221.5</v>
      </c>
      <c r="Q230" s="139">
        <f t="shared" si="10"/>
        <v>46508.5</v>
      </c>
      <c r="R230" s="139">
        <v>85398</v>
      </c>
      <c r="S230" s="139">
        <f t="shared" si="11"/>
        <v>12242657.280000001</v>
      </c>
      <c r="U230" s="139" t="s">
        <v>596</v>
      </c>
    </row>
    <row r="231" spans="1:21" x14ac:dyDescent="0.2">
      <c r="A231" s="139" t="s">
        <v>701</v>
      </c>
      <c r="C231" s="139" t="s">
        <v>426</v>
      </c>
      <c r="D231" s="139">
        <v>2975</v>
      </c>
      <c r="E231" s="139">
        <v>2930</v>
      </c>
      <c r="F231" s="139">
        <v>1236</v>
      </c>
      <c r="G231" s="139">
        <v>820</v>
      </c>
      <c r="H231" s="139">
        <v>604</v>
      </c>
      <c r="I231" s="139">
        <v>738</v>
      </c>
      <c r="J231" s="139">
        <v>977</v>
      </c>
      <c r="K231" s="139">
        <v>1040</v>
      </c>
      <c r="L231" s="139">
        <v>1240</v>
      </c>
      <c r="M231" s="139">
        <v>1018</v>
      </c>
      <c r="N231" s="139">
        <v>630000</v>
      </c>
      <c r="O231" s="139">
        <v>632000</v>
      </c>
      <c r="P231" s="139">
        <f t="shared" si="9"/>
        <v>1361.25</v>
      </c>
      <c r="Q231" s="139">
        <f t="shared" si="10"/>
        <v>1280</v>
      </c>
      <c r="R231" s="139">
        <v>7386</v>
      </c>
      <c r="S231" s="139">
        <f t="shared" si="11"/>
        <v>1058856.9600000002</v>
      </c>
      <c r="U231" s="139" t="s">
        <v>426</v>
      </c>
    </row>
    <row r="232" spans="1:21" x14ac:dyDescent="0.2">
      <c r="A232" s="139" t="s">
        <v>689</v>
      </c>
      <c r="C232" s="139" t="s">
        <v>169</v>
      </c>
      <c r="D232" s="139">
        <v>7442</v>
      </c>
      <c r="E232" s="139">
        <v>8645</v>
      </c>
      <c r="F232" s="139">
        <v>7041</v>
      </c>
      <c r="G232" s="139">
        <v>12318</v>
      </c>
      <c r="H232" s="139">
        <v>6341</v>
      </c>
      <c r="I232" s="139">
        <v>7970</v>
      </c>
      <c r="J232" s="139">
        <v>2721</v>
      </c>
      <c r="K232" s="139">
        <v>5269</v>
      </c>
      <c r="L232" s="139">
        <v>5202</v>
      </c>
      <c r="M232" s="139">
        <v>4749</v>
      </c>
      <c r="N232" s="139">
        <v>3874000</v>
      </c>
      <c r="O232" s="139">
        <v>1339000</v>
      </c>
      <c r="P232" s="139">
        <f t="shared" si="9"/>
        <v>6174.5</v>
      </c>
      <c r="Q232" s="139">
        <f t="shared" si="10"/>
        <v>7568</v>
      </c>
      <c r="R232" s="139">
        <v>33042</v>
      </c>
      <c r="S232" s="139">
        <f t="shared" si="11"/>
        <v>4736901.1200000001</v>
      </c>
      <c r="U232" s="139" t="s">
        <v>169</v>
      </c>
    </row>
    <row r="233" spans="1:21" x14ac:dyDescent="0.2">
      <c r="A233" s="139" t="s">
        <v>696</v>
      </c>
      <c r="C233" s="139" t="s">
        <v>532</v>
      </c>
      <c r="D233" s="139">
        <v>15702</v>
      </c>
      <c r="E233" s="139">
        <v>20488</v>
      </c>
      <c r="F233" s="139">
        <v>11285</v>
      </c>
      <c r="G233" s="139">
        <v>15545</v>
      </c>
      <c r="H233" s="139">
        <v>8551</v>
      </c>
      <c r="I233" s="139">
        <v>14645</v>
      </c>
      <c r="J233" s="139">
        <v>4397</v>
      </c>
      <c r="K233" s="139">
        <v>3676</v>
      </c>
      <c r="L233" s="139">
        <v>4498</v>
      </c>
      <c r="M233" s="139">
        <v>7576</v>
      </c>
      <c r="N233" s="139">
        <v>20526000</v>
      </c>
      <c r="O233" s="139">
        <v>16890000</v>
      </c>
      <c r="P233" s="139">
        <f t="shared" si="9"/>
        <v>14016</v>
      </c>
      <c r="Q233" s="139">
        <f t="shared" si="10"/>
        <v>16892</v>
      </c>
      <c r="R233" s="139">
        <v>46557</v>
      </c>
      <c r="S233" s="139">
        <f t="shared" si="11"/>
        <v>6674411.5200000005</v>
      </c>
      <c r="U233" s="139" t="s">
        <v>532</v>
      </c>
    </row>
    <row r="234" spans="1:21" x14ac:dyDescent="0.2">
      <c r="A234" s="139" t="s">
        <v>694</v>
      </c>
      <c r="C234" s="139" t="s">
        <v>397</v>
      </c>
      <c r="D234" s="139">
        <v>12990</v>
      </c>
      <c r="E234" s="139">
        <v>12949</v>
      </c>
      <c r="F234" s="139">
        <v>22666</v>
      </c>
      <c r="G234" s="139">
        <v>18507</v>
      </c>
      <c r="H234" s="139">
        <v>15439</v>
      </c>
      <c r="I234" s="139">
        <v>15582</v>
      </c>
      <c r="J234" s="139">
        <v>23741</v>
      </c>
      <c r="K234" s="139">
        <v>15709</v>
      </c>
      <c r="L234" s="139">
        <v>8756</v>
      </c>
      <c r="M234" s="139">
        <v>9757</v>
      </c>
      <c r="N234" s="139">
        <v>13336000</v>
      </c>
      <c r="O234" s="139">
        <v>12063000</v>
      </c>
      <c r="P234" s="139">
        <f t="shared" si="9"/>
        <v>16107.75</v>
      </c>
      <c r="Q234" s="139">
        <f t="shared" si="10"/>
        <v>14775.25</v>
      </c>
      <c r="R234" s="139">
        <v>25865</v>
      </c>
      <c r="S234" s="139">
        <f t="shared" si="11"/>
        <v>3708006.4000000004</v>
      </c>
      <c r="U234" s="139" t="s">
        <v>397</v>
      </c>
    </row>
    <row r="235" spans="1:21" x14ac:dyDescent="0.2">
      <c r="A235" s="139" t="s">
        <v>694</v>
      </c>
      <c r="C235" s="139" t="s">
        <v>398</v>
      </c>
      <c r="D235" s="139">
        <v>3978</v>
      </c>
      <c r="E235" s="139">
        <v>2351</v>
      </c>
      <c r="F235" s="139">
        <v>2869</v>
      </c>
      <c r="G235" s="139">
        <v>2667</v>
      </c>
      <c r="H235" s="139">
        <v>5418</v>
      </c>
      <c r="I235" s="139">
        <v>4547</v>
      </c>
      <c r="J235" s="139">
        <v>5544</v>
      </c>
      <c r="K235" s="139">
        <v>6184</v>
      </c>
      <c r="L235" s="139">
        <v>2592</v>
      </c>
      <c r="M235" s="139">
        <v>2345</v>
      </c>
      <c r="N235" s="139">
        <v>2266000</v>
      </c>
      <c r="O235" s="139">
        <v>1729000</v>
      </c>
      <c r="P235" s="139">
        <f t="shared" si="9"/>
        <v>3632.75</v>
      </c>
      <c r="Q235" s="139">
        <f t="shared" si="10"/>
        <v>2823.5</v>
      </c>
      <c r="R235" s="139">
        <v>16326</v>
      </c>
      <c r="S235" s="139">
        <f t="shared" si="11"/>
        <v>2340495.3600000003</v>
      </c>
      <c r="U235" s="139" t="s">
        <v>398</v>
      </c>
    </row>
    <row r="236" spans="1:21" x14ac:dyDescent="0.2">
      <c r="A236" s="139" t="s">
        <v>690</v>
      </c>
      <c r="C236" s="139" t="s">
        <v>536</v>
      </c>
      <c r="D236" s="139">
        <v>28998</v>
      </c>
      <c r="E236" s="139">
        <v>29121</v>
      </c>
      <c r="F236" s="139">
        <v>10571</v>
      </c>
      <c r="G236" s="139">
        <v>26712</v>
      </c>
      <c r="H236" s="139">
        <v>21717</v>
      </c>
      <c r="I236" s="139">
        <v>27776</v>
      </c>
      <c r="J236" s="139">
        <v>9361</v>
      </c>
      <c r="K236" s="139">
        <v>10382</v>
      </c>
      <c r="L236" s="139">
        <v>10919</v>
      </c>
      <c r="M236" s="139">
        <v>13039</v>
      </c>
      <c r="N236" s="139">
        <v>15178000</v>
      </c>
      <c r="O236" s="139">
        <v>10414000</v>
      </c>
      <c r="P236" s="139">
        <f t="shared" si="9"/>
        <v>19116</v>
      </c>
      <c r="Q236" s="139">
        <f t="shared" si="10"/>
        <v>23505.75</v>
      </c>
      <c r="R236" s="139">
        <v>22869</v>
      </c>
      <c r="S236" s="139">
        <f t="shared" si="11"/>
        <v>3278499.8400000003</v>
      </c>
      <c r="U236" s="139" t="s">
        <v>536</v>
      </c>
    </row>
    <row r="237" spans="1:21" x14ac:dyDescent="0.2">
      <c r="A237" s="139" t="s">
        <v>692</v>
      </c>
      <c r="C237" s="139" t="s">
        <v>273</v>
      </c>
      <c r="D237" s="139">
        <v>5295</v>
      </c>
      <c r="E237" s="139">
        <v>4275</v>
      </c>
      <c r="F237" s="139">
        <v>271</v>
      </c>
      <c r="G237" s="139">
        <v>2231</v>
      </c>
      <c r="H237" s="139">
        <v>274</v>
      </c>
      <c r="I237" s="139">
        <v>1225</v>
      </c>
      <c r="J237" s="139">
        <v>3299</v>
      </c>
      <c r="K237" s="139">
        <v>4683</v>
      </c>
      <c r="L237" s="139">
        <v>6511</v>
      </c>
      <c r="M237" s="139">
        <v>6536</v>
      </c>
      <c r="N237" s="139">
        <v>11000</v>
      </c>
      <c r="O237" s="139">
        <v>809000</v>
      </c>
      <c r="P237" s="139">
        <f t="shared" si="9"/>
        <v>1462.75</v>
      </c>
      <c r="Q237" s="139">
        <f t="shared" si="10"/>
        <v>2135</v>
      </c>
      <c r="R237" s="139">
        <v>26890</v>
      </c>
      <c r="S237" s="139">
        <f t="shared" si="11"/>
        <v>3854950.4000000004</v>
      </c>
      <c r="U237" s="139" t="s">
        <v>273</v>
      </c>
    </row>
    <row r="238" spans="1:21" x14ac:dyDescent="0.2">
      <c r="A238" s="139" t="s">
        <v>699</v>
      </c>
      <c r="C238" s="139" t="s">
        <v>514</v>
      </c>
      <c r="D238" s="139">
        <v>557</v>
      </c>
      <c r="E238" s="139">
        <v>557</v>
      </c>
      <c r="F238" s="139">
        <v>212</v>
      </c>
      <c r="G238" s="139">
        <v>0</v>
      </c>
      <c r="H238" s="139">
        <v>2456</v>
      </c>
      <c r="I238" s="139">
        <v>4629</v>
      </c>
      <c r="J238" s="139">
        <v>781</v>
      </c>
      <c r="K238" s="139">
        <v>980</v>
      </c>
      <c r="L238" s="139">
        <v>1390</v>
      </c>
      <c r="M238" s="139">
        <v>1637</v>
      </c>
      <c r="N238" s="139">
        <v>150000</v>
      </c>
      <c r="O238" s="139">
        <v>11000</v>
      </c>
      <c r="P238" s="139">
        <f t="shared" si="9"/>
        <v>843.75</v>
      </c>
      <c r="Q238" s="139">
        <f t="shared" si="10"/>
        <v>1299.25</v>
      </c>
      <c r="R238" s="139">
        <v>15315</v>
      </c>
      <c r="S238" s="139">
        <f t="shared" si="11"/>
        <v>2195558.4000000004</v>
      </c>
      <c r="U238" s="139" t="s">
        <v>514</v>
      </c>
    </row>
    <row r="239" spans="1:21" x14ac:dyDescent="0.2">
      <c r="A239" s="139" t="s">
        <v>694</v>
      </c>
      <c r="C239" s="139" t="s">
        <v>399</v>
      </c>
      <c r="D239" s="139">
        <v>22687</v>
      </c>
      <c r="E239" s="139">
        <v>32545</v>
      </c>
      <c r="F239" s="139">
        <v>10086</v>
      </c>
      <c r="G239" s="139">
        <v>13603</v>
      </c>
      <c r="H239" s="139">
        <v>13149</v>
      </c>
      <c r="I239" s="139">
        <v>17075</v>
      </c>
      <c r="J239" s="139">
        <v>11281</v>
      </c>
      <c r="K239" s="139">
        <v>9818</v>
      </c>
      <c r="L239" s="139">
        <v>2819</v>
      </c>
      <c r="M239" s="139">
        <v>3054</v>
      </c>
      <c r="N239" s="139">
        <v>4843000</v>
      </c>
      <c r="O239" s="139">
        <v>2340000</v>
      </c>
      <c r="P239" s="139">
        <f t="shared" si="9"/>
        <v>12691.25</v>
      </c>
      <c r="Q239" s="139">
        <f t="shared" si="10"/>
        <v>16390.75</v>
      </c>
      <c r="R239" s="139">
        <v>23601</v>
      </c>
      <c r="S239" s="139">
        <f t="shared" si="11"/>
        <v>3383439.3600000003</v>
      </c>
      <c r="U239" s="139" t="s">
        <v>399</v>
      </c>
    </row>
    <row r="240" spans="1:21" x14ac:dyDescent="0.2">
      <c r="A240" s="139" t="s">
        <v>690</v>
      </c>
      <c r="C240" s="139" t="s">
        <v>472</v>
      </c>
      <c r="D240" s="139">
        <v>11165</v>
      </c>
      <c r="E240" s="139">
        <v>12274</v>
      </c>
      <c r="F240" s="139">
        <v>9501</v>
      </c>
      <c r="G240" s="139">
        <v>14794</v>
      </c>
      <c r="H240" s="139">
        <v>11071</v>
      </c>
      <c r="I240" s="139">
        <v>13040</v>
      </c>
      <c r="J240" s="139">
        <v>4848</v>
      </c>
      <c r="K240" s="139">
        <v>4726</v>
      </c>
      <c r="L240" s="139">
        <v>5896</v>
      </c>
      <c r="M240" s="139">
        <v>6759</v>
      </c>
      <c r="N240" s="139">
        <v>7367000</v>
      </c>
      <c r="O240" s="139">
        <v>6078000</v>
      </c>
      <c r="P240" s="139">
        <f t="shared" si="9"/>
        <v>9776</v>
      </c>
      <c r="Q240" s="139">
        <f t="shared" si="10"/>
        <v>11546.5</v>
      </c>
      <c r="R240" s="139">
        <v>18491</v>
      </c>
      <c r="S240" s="139">
        <f t="shared" si="11"/>
        <v>2650869.7600000002</v>
      </c>
      <c r="U240" s="139" t="s">
        <v>472</v>
      </c>
    </row>
    <row r="241" spans="1:21" x14ac:dyDescent="0.2">
      <c r="A241" s="139" t="s">
        <v>690</v>
      </c>
      <c r="C241" s="139" t="s">
        <v>473</v>
      </c>
      <c r="D241" s="139">
        <v>4758</v>
      </c>
      <c r="E241" s="139">
        <v>3538</v>
      </c>
      <c r="F241" s="139">
        <v>3138</v>
      </c>
      <c r="G241" s="139">
        <v>3882</v>
      </c>
      <c r="H241" s="139">
        <v>3091</v>
      </c>
      <c r="I241" s="139">
        <v>2672</v>
      </c>
      <c r="J241" s="139">
        <v>7210</v>
      </c>
      <c r="K241" s="139">
        <v>6644</v>
      </c>
      <c r="L241" s="139">
        <v>4056</v>
      </c>
      <c r="M241" s="139">
        <v>4158</v>
      </c>
      <c r="N241" s="139">
        <v>8272000</v>
      </c>
      <c r="O241" s="139">
        <v>7212000</v>
      </c>
      <c r="P241" s="139">
        <f t="shared" si="9"/>
        <v>4814.75</v>
      </c>
      <c r="Q241" s="139">
        <f t="shared" si="10"/>
        <v>4326</v>
      </c>
      <c r="R241" s="139">
        <v>25945</v>
      </c>
      <c r="S241" s="139">
        <f t="shared" si="11"/>
        <v>3719475.2000000002</v>
      </c>
      <c r="U241" s="139" t="s">
        <v>473</v>
      </c>
    </row>
    <row r="242" spans="1:21" x14ac:dyDescent="0.2">
      <c r="A242" s="139" t="s">
        <v>698</v>
      </c>
      <c r="C242" s="139" t="s">
        <v>188</v>
      </c>
      <c r="D242" s="139">
        <v>5208</v>
      </c>
      <c r="E242" s="139">
        <v>10163</v>
      </c>
      <c r="F242" s="139">
        <v>3191</v>
      </c>
      <c r="G242" s="139">
        <v>3362</v>
      </c>
      <c r="H242" s="139">
        <v>4972</v>
      </c>
      <c r="I242" s="139">
        <v>6403</v>
      </c>
      <c r="J242" s="139">
        <v>3303</v>
      </c>
      <c r="K242" s="139">
        <v>3566</v>
      </c>
      <c r="L242" s="139">
        <v>1678</v>
      </c>
      <c r="M242" s="139">
        <v>2733</v>
      </c>
      <c r="N242" s="139">
        <v>1093000</v>
      </c>
      <c r="O242" s="139">
        <v>1353000</v>
      </c>
      <c r="P242" s="139">
        <f t="shared" si="9"/>
        <v>3616</v>
      </c>
      <c r="Q242" s="139">
        <f t="shared" si="10"/>
        <v>5320.25</v>
      </c>
      <c r="R242" s="139">
        <v>38107</v>
      </c>
      <c r="S242" s="139">
        <f t="shared" si="11"/>
        <v>5463019.5200000005</v>
      </c>
      <c r="U242" s="139" t="s">
        <v>188</v>
      </c>
    </row>
    <row r="243" spans="1:21" x14ac:dyDescent="0.2">
      <c r="A243" s="139" t="s">
        <v>692</v>
      </c>
      <c r="C243" s="139" t="s">
        <v>274</v>
      </c>
      <c r="D243" s="139">
        <v>8146</v>
      </c>
      <c r="E243" s="139">
        <v>6409</v>
      </c>
      <c r="F243" s="139">
        <v>3817</v>
      </c>
      <c r="G243" s="139">
        <v>6373</v>
      </c>
      <c r="H243" s="139">
        <v>6070</v>
      </c>
      <c r="I243" s="139">
        <v>7101</v>
      </c>
      <c r="J243" s="139">
        <v>2927</v>
      </c>
      <c r="K243" s="139">
        <v>3194</v>
      </c>
      <c r="L243" s="139">
        <v>1964</v>
      </c>
      <c r="M243" s="139">
        <v>2614</v>
      </c>
      <c r="N243" s="139">
        <v>4432000</v>
      </c>
      <c r="O243" s="139">
        <v>5737000</v>
      </c>
      <c r="P243" s="139">
        <f t="shared" si="9"/>
        <v>5616.25</v>
      </c>
      <c r="Q243" s="139">
        <f t="shared" si="10"/>
        <v>6405</v>
      </c>
      <c r="R243" s="139">
        <v>23263</v>
      </c>
      <c r="S243" s="139">
        <f t="shared" si="11"/>
        <v>3334983.6800000002</v>
      </c>
      <c r="U243" s="139" t="s">
        <v>274</v>
      </c>
    </row>
    <row r="244" spans="1:21" x14ac:dyDescent="0.2">
      <c r="A244" s="139" t="s">
        <v>695</v>
      </c>
      <c r="C244" s="139" t="s">
        <v>229</v>
      </c>
      <c r="D244" s="139">
        <v>5602</v>
      </c>
      <c r="E244" s="139">
        <v>5793</v>
      </c>
      <c r="F244" s="139">
        <v>14602</v>
      </c>
      <c r="G244" s="139">
        <v>12327</v>
      </c>
      <c r="H244" s="139">
        <v>10466</v>
      </c>
      <c r="I244" s="139">
        <v>11385</v>
      </c>
      <c r="J244" s="139">
        <v>9491</v>
      </c>
      <c r="K244" s="139">
        <v>14011</v>
      </c>
      <c r="L244" s="139">
        <v>11321</v>
      </c>
      <c r="M244" s="139">
        <v>11138</v>
      </c>
      <c r="N244" s="139">
        <v>14997000</v>
      </c>
      <c r="O244" s="139">
        <v>11576000</v>
      </c>
      <c r="P244" s="139">
        <f t="shared" si="9"/>
        <v>11416.75</v>
      </c>
      <c r="Q244" s="139">
        <f t="shared" si="10"/>
        <v>10270.25</v>
      </c>
      <c r="R244" s="139">
        <v>32011</v>
      </c>
      <c r="S244" s="139">
        <f t="shared" si="11"/>
        <v>4589096.9600000009</v>
      </c>
      <c r="U244" s="139" t="s">
        <v>229</v>
      </c>
    </row>
    <row r="245" spans="1:21" x14ac:dyDescent="0.2">
      <c r="A245" s="139" t="s">
        <v>695</v>
      </c>
      <c r="C245" s="139" t="s">
        <v>230</v>
      </c>
      <c r="D245" s="139">
        <v>6951</v>
      </c>
      <c r="E245" s="139">
        <v>10527</v>
      </c>
      <c r="F245" s="139">
        <v>4005</v>
      </c>
      <c r="G245" s="139">
        <v>6217</v>
      </c>
      <c r="H245" s="139">
        <v>4899</v>
      </c>
      <c r="I245" s="139">
        <v>4288</v>
      </c>
      <c r="J245" s="139">
        <v>1845</v>
      </c>
      <c r="K245" s="139">
        <v>2347</v>
      </c>
      <c r="L245" s="139">
        <v>2842</v>
      </c>
      <c r="M245" s="139">
        <v>2927</v>
      </c>
      <c r="N245" s="139">
        <v>1177000</v>
      </c>
      <c r="O245" s="139">
        <v>1562000</v>
      </c>
      <c r="P245" s="139">
        <f t="shared" si="9"/>
        <v>4258</v>
      </c>
      <c r="Q245" s="139">
        <f t="shared" si="10"/>
        <v>5648.5</v>
      </c>
      <c r="R245" s="139">
        <v>17959</v>
      </c>
      <c r="S245" s="139">
        <f t="shared" si="11"/>
        <v>2574602.2400000002</v>
      </c>
      <c r="U245" s="139" t="s">
        <v>230</v>
      </c>
    </row>
    <row r="246" spans="1:21" x14ac:dyDescent="0.2">
      <c r="A246" s="139" t="s">
        <v>695</v>
      </c>
      <c r="C246" s="139" t="s">
        <v>231</v>
      </c>
      <c r="D246" s="139">
        <v>5247</v>
      </c>
      <c r="E246" s="139">
        <v>4716</v>
      </c>
      <c r="F246" s="139">
        <v>12629</v>
      </c>
      <c r="G246" s="139">
        <v>17497</v>
      </c>
      <c r="H246" s="139">
        <v>5084</v>
      </c>
      <c r="I246" s="139">
        <v>7514</v>
      </c>
      <c r="J246" s="139">
        <v>9557</v>
      </c>
      <c r="K246" s="139">
        <v>10895</v>
      </c>
      <c r="L246" s="139">
        <v>27600</v>
      </c>
      <c r="M246" s="139">
        <v>33053</v>
      </c>
      <c r="N246" s="139">
        <v>4339000</v>
      </c>
      <c r="O246" s="139">
        <v>4661000</v>
      </c>
      <c r="P246" s="139">
        <f t="shared" si="9"/>
        <v>6824.75</v>
      </c>
      <c r="Q246" s="139">
        <f t="shared" si="10"/>
        <v>8597</v>
      </c>
      <c r="R246" s="139">
        <v>17530</v>
      </c>
      <c r="S246" s="139">
        <f t="shared" si="11"/>
        <v>2513100.8000000003</v>
      </c>
      <c r="U246" s="139" t="s">
        <v>231</v>
      </c>
    </row>
    <row r="247" spans="1:21" x14ac:dyDescent="0.2">
      <c r="A247" s="139" t="s">
        <v>699</v>
      </c>
      <c r="C247" s="139" t="s">
        <v>515</v>
      </c>
      <c r="D247" s="139">
        <v>36</v>
      </c>
      <c r="E247" s="139">
        <v>12</v>
      </c>
      <c r="F247" s="139">
        <v>5</v>
      </c>
      <c r="G247" s="139">
        <v>5</v>
      </c>
      <c r="H247" s="139">
        <v>13</v>
      </c>
      <c r="I247" s="139">
        <v>49</v>
      </c>
      <c r="J247" s="139">
        <v>9</v>
      </c>
      <c r="K247" s="139">
        <v>9</v>
      </c>
      <c r="L247" s="139">
        <v>5</v>
      </c>
      <c r="M247" s="139">
        <v>6</v>
      </c>
      <c r="N247" s="139">
        <v>5000</v>
      </c>
      <c r="O247" s="139">
        <v>9000</v>
      </c>
      <c r="P247" s="139">
        <f t="shared" si="9"/>
        <v>14.75</v>
      </c>
      <c r="Q247" s="139">
        <f t="shared" si="10"/>
        <v>18.75</v>
      </c>
      <c r="R247" s="139">
        <v>7860</v>
      </c>
      <c r="S247" s="139">
        <f t="shared" si="11"/>
        <v>1126809.6000000001</v>
      </c>
      <c r="U247" s="139" t="s">
        <v>515</v>
      </c>
    </row>
    <row r="248" spans="1:21" x14ac:dyDescent="0.2">
      <c r="A248" s="139" t="s">
        <v>692</v>
      </c>
      <c r="C248" s="139" t="s">
        <v>275</v>
      </c>
      <c r="D248" s="139">
        <v>21853</v>
      </c>
      <c r="E248" s="139">
        <v>21992</v>
      </c>
      <c r="F248" s="139">
        <v>3933</v>
      </c>
      <c r="G248" s="139">
        <v>5003</v>
      </c>
      <c r="H248" s="139">
        <v>5989</v>
      </c>
      <c r="I248" s="139">
        <v>5493</v>
      </c>
      <c r="J248" s="139">
        <v>3154</v>
      </c>
      <c r="K248" s="139">
        <v>3484</v>
      </c>
      <c r="L248" s="139">
        <v>1265</v>
      </c>
      <c r="M248" s="139">
        <v>2520</v>
      </c>
      <c r="N248" s="139">
        <v>2095000</v>
      </c>
      <c r="O248" s="139">
        <v>3022000</v>
      </c>
      <c r="P248" s="139">
        <f t="shared" si="9"/>
        <v>8467.5</v>
      </c>
      <c r="Q248" s="139">
        <f t="shared" si="10"/>
        <v>8877.5</v>
      </c>
      <c r="R248" s="139">
        <v>29632</v>
      </c>
      <c r="S248" s="139">
        <f t="shared" si="11"/>
        <v>4248043.5200000005</v>
      </c>
      <c r="U248" s="139" t="s">
        <v>275</v>
      </c>
    </row>
    <row r="249" spans="1:21" x14ac:dyDescent="0.2">
      <c r="A249" s="139" t="s">
        <v>690</v>
      </c>
      <c r="C249" s="139" t="s">
        <v>474</v>
      </c>
      <c r="D249" s="139">
        <v>11975</v>
      </c>
      <c r="E249" s="139">
        <v>10546</v>
      </c>
      <c r="F249" s="139">
        <v>21093</v>
      </c>
      <c r="G249" s="139">
        <v>21890</v>
      </c>
      <c r="H249" s="139">
        <v>10123</v>
      </c>
      <c r="I249" s="139">
        <v>12038</v>
      </c>
      <c r="J249" s="139">
        <v>23233</v>
      </c>
      <c r="K249" s="139">
        <v>24255</v>
      </c>
      <c r="L249" s="139">
        <v>10003</v>
      </c>
      <c r="M249" s="139">
        <v>10180</v>
      </c>
      <c r="N249" s="139">
        <v>15572000</v>
      </c>
      <c r="O249" s="139">
        <v>10398000</v>
      </c>
      <c r="P249" s="139">
        <f t="shared" si="9"/>
        <v>14690.75</v>
      </c>
      <c r="Q249" s="139">
        <f t="shared" si="10"/>
        <v>13718</v>
      </c>
      <c r="R249" s="139">
        <v>54604</v>
      </c>
      <c r="S249" s="139">
        <f t="shared" si="11"/>
        <v>7828029.4400000004</v>
      </c>
      <c r="U249" s="139" t="s">
        <v>474</v>
      </c>
    </row>
    <row r="250" spans="1:21" x14ac:dyDescent="0.2">
      <c r="A250" s="139" t="s">
        <v>693</v>
      </c>
      <c r="C250" s="139" t="s">
        <v>209</v>
      </c>
      <c r="D250" s="139">
        <v>706</v>
      </c>
      <c r="E250" s="139">
        <v>1155</v>
      </c>
      <c r="F250" s="139">
        <v>2254</v>
      </c>
      <c r="G250" s="139">
        <v>2403</v>
      </c>
      <c r="H250" s="139">
        <v>3766</v>
      </c>
      <c r="I250" s="139">
        <v>4916</v>
      </c>
      <c r="J250" s="139">
        <v>1405</v>
      </c>
      <c r="K250" s="139">
        <v>2555</v>
      </c>
      <c r="L250" s="139">
        <v>822</v>
      </c>
      <c r="M250" s="139">
        <v>1871</v>
      </c>
      <c r="N250" s="139">
        <v>1885000</v>
      </c>
      <c r="O250" s="139">
        <v>3834000</v>
      </c>
      <c r="P250" s="139">
        <f t="shared" si="9"/>
        <v>2152.75</v>
      </c>
      <c r="Q250" s="139">
        <f t="shared" si="10"/>
        <v>3077</v>
      </c>
      <c r="R250" s="139">
        <v>25543</v>
      </c>
      <c r="S250" s="139">
        <f t="shared" si="11"/>
        <v>3661844.4800000004</v>
      </c>
      <c r="U250" s="139" t="s">
        <v>209</v>
      </c>
    </row>
    <row r="251" spans="1:21" x14ac:dyDescent="0.2">
      <c r="A251" s="139" t="s">
        <v>691</v>
      </c>
      <c r="C251" s="139" t="s">
        <v>348</v>
      </c>
      <c r="D251" s="139">
        <v>9028</v>
      </c>
      <c r="E251" s="139">
        <v>8391</v>
      </c>
      <c r="F251" s="139">
        <v>7791</v>
      </c>
      <c r="G251" s="139">
        <v>6936</v>
      </c>
      <c r="H251" s="139">
        <v>7320</v>
      </c>
      <c r="I251" s="139">
        <v>5058</v>
      </c>
      <c r="J251" s="139">
        <v>6476</v>
      </c>
      <c r="K251" s="139">
        <v>5038</v>
      </c>
      <c r="L251" s="139">
        <v>1288</v>
      </c>
      <c r="M251" s="139">
        <v>1190</v>
      </c>
      <c r="N251" s="139">
        <v>520000</v>
      </c>
      <c r="O251" s="139">
        <v>-85000</v>
      </c>
      <c r="P251" s="139">
        <f t="shared" si="9"/>
        <v>6164.75</v>
      </c>
      <c r="Q251" s="139">
        <f t="shared" si="10"/>
        <v>5075</v>
      </c>
      <c r="R251" s="139">
        <v>9653</v>
      </c>
      <c r="S251" s="139">
        <f t="shared" si="11"/>
        <v>1383854.0800000001</v>
      </c>
      <c r="U251" s="139" t="s">
        <v>348</v>
      </c>
    </row>
    <row r="252" spans="1:21" x14ac:dyDescent="0.2">
      <c r="A252" s="139" t="s">
        <v>691</v>
      </c>
      <c r="C252" s="139" t="s">
        <v>349</v>
      </c>
      <c r="D252" s="139">
        <v>806</v>
      </c>
      <c r="E252" s="139">
        <v>750</v>
      </c>
      <c r="F252" s="139">
        <v>457</v>
      </c>
      <c r="G252" s="139">
        <v>752</v>
      </c>
      <c r="H252" s="139">
        <v>6193</v>
      </c>
      <c r="I252" s="139">
        <v>6425</v>
      </c>
      <c r="J252" s="139">
        <v>3006</v>
      </c>
      <c r="K252" s="139">
        <v>2859</v>
      </c>
      <c r="L252" s="139">
        <v>1153</v>
      </c>
      <c r="M252" s="139">
        <v>1474</v>
      </c>
      <c r="N252" s="139">
        <v>1133000</v>
      </c>
      <c r="O252" s="139">
        <v>882000</v>
      </c>
      <c r="P252" s="139">
        <f t="shared" si="9"/>
        <v>2147.25</v>
      </c>
      <c r="Q252" s="139">
        <f t="shared" si="10"/>
        <v>2202.25</v>
      </c>
      <c r="R252" s="139">
        <v>11421</v>
      </c>
      <c r="S252" s="139">
        <f t="shared" si="11"/>
        <v>1637314.5600000001</v>
      </c>
      <c r="U252" s="139" t="s">
        <v>349</v>
      </c>
    </row>
    <row r="253" spans="1:21" x14ac:dyDescent="0.2">
      <c r="A253" s="139" t="s">
        <v>693</v>
      </c>
      <c r="C253" s="139" t="s">
        <v>210</v>
      </c>
      <c r="D253" s="139">
        <v>5055</v>
      </c>
      <c r="E253" s="139">
        <v>4426</v>
      </c>
      <c r="F253" s="139">
        <v>3426</v>
      </c>
      <c r="G253" s="139">
        <v>2754</v>
      </c>
      <c r="H253" s="139">
        <v>2879</v>
      </c>
      <c r="I253" s="139">
        <v>5542</v>
      </c>
      <c r="J253" s="139">
        <v>2318</v>
      </c>
      <c r="K253" s="139">
        <v>1785</v>
      </c>
      <c r="L253" s="139">
        <v>1061</v>
      </c>
      <c r="M253" s="139">
        <v>879</v>
      </c>
      <c r="N253" s="139">
        <v>820000</v>
      </c>
      <c r="O253" s="139">
        <v>563000</v>
      </c>
      <c r="P253" s="139">
        <f t="shared" si="9"/>
        <v>3045</v>
      </c>
      <c r="Q253" s="139">
        <f t="shared" si="10"/>
        <v>3321.25</v>
      </c>
      <c r="R253" s="139">
        <v>29720</v>
      </c>
      <c r="S253" s="139">
        <f t="shared" si="11"/>
        <v>4260659.2000000002</v>
      </c>
      <c r="U253" s="139" t="s">
        <v>210</v>
      </c>
    </row>
    <row r="254" spans="1:21" x14ac:dyDescent="0.2">
      <c r="A254" s="139" t="s">
        <v>690</v>
      </c>
      <c r="C254" s="139" t="s">
        <v>475</v>
      </c>
      <c r="D254" s="139">
        <v>37711.571074087202</v>
      </c>
      <c r="E254" s="139">
        <v>41133.414037575327</v>
      </c>
      <c r="F254" s="139">
        <v>45102.608294930877</v>
      </c>
      <c r="G254" s="139">
        <v>53987.94718185041</v>
      </c>
      <c r="H254" s="139">
        <v>48782.825239276848</v>
      </c>
      <c r="I254" s="139">
        <v>50611.221907125131</v>
      </c>
      <c r="J254" s="139">
        <v>27031.292095001772</v>
      </c>
      <c r="K254" s="139">
        <v>27827.138957816376</v>
      </c>
      <c r="L254" s="139">
        <v>21890.558118899735</v>
      </c>
      <c r="M254" s="139">
        <v>23160.516415261758</v>
      </c>
      <c r="N254" s="139">
        <v>18770000</v>
      </c>
      <c r="O254" s="139">
        <v>20993000</v>
      </c>
      <c r="P254" s="139">
        <f t="shared" si="9"/>
        <v>37591.751152073732</v>
      </c>
      <c r="Q254" s="139">
        <f t="shared" si="10"/>
        <v>41681.395781637722</v>
      </c>
      <c r="R254" s="139">
        <v>90364</v>
      </c>
      <c r="S254" s="139">
        <f t="shared" si="11"/>
        <v>12954583.040000001</v>
      </c>
      <c r="U254" s="139" t="s">
        <v>475</v>
      </c>
    </row>
    <row r="255" spans="1:21" x14ac:dyDescent="0.2">
      <c r="A255" s="139" t="s">
        <v>694</v>
      </c>
      <c r="C255" s="139" t="s">
        <v>400</v>
      </c>
      <c r="D255" s="139">
        <v>2184</v>
      </c>
      <c r="E255" s="139">
        <v>3876</v>
      </c>
      <c r="F255" s="139">
        <v>9047</v>
      </c>
      <c r="G255" s="139">
        <v>10002</v>
      </c>
      <c r="H255" s="139">
        <v>4725</v>
      </c>
      <c r="I255" s="139">
        <v>5055</v>
      </c>
      <c r="J255" s="139">
        <v>7081</v>
      </c>
      <c r="K255" s="139">
        <v>7474</v>
      </c>
      <c r="L255" s="139">
        <v>3165</v>
      </c>
      <c r="M255" s="139">
        <v>2927</v>
      </c>
      <c r="N255" s="139">
        <v>4878000</v>
      </c>
      <c r="O255" s="139">
        <v>4892000</v>
      </c>
      <c r="P255" s="139">
        <f t="shared" si="9"/>
        <v>5208.5</v>
      </c>
      <c r="Q255" s="139">
        <f t="shared" si="10"/>
        <v>5956.25</v>
      </c>
      <c r="R255" s="139">
        <v>24021</v>
      </c>
      <c r="S255" s="139">
        <f t="shared" si="11"/>
        <v>3443650.5600000005</v>
      </c>
      <c r="U255" s="139" t="s">
        <v>400</v>
      </c>
    </row>
    <row r="256" spans="1:21" x14ac:dyDescent="0.2">
      <c r="A256" s="139" t="s">
        <v>692</v>
      </c>
      <c r="C256" s="139" t="s">
        <v>276</v>
      </c>
      <c r="D256" s="139">
        <v>15049</v>
      </c>
      <c r="E256" s="139">
        <v>28582</v>
      </c>
      <c r="F256" s="139">
        <v>9596</v>
      </c>
      <c r="G256" s="139">
        <v>12733</v>
      </c>
      <c r="H256" s="139">
        <v>31440</v>
      </c>
      <c r="I256" s="139">
        <v>33529</v>
      </c>
      <c r="J256" s="139">
        <v>8660</v>
      </c>
      <c r="K256" s="139">
        <v>9749</v>
      </c>
      <c r="L256" s="139">
        <v>11264</v>
      </c>
      <c r="M256" s="139">
        <v>16095</v>
      </c>
      <c r="N256" s="139">
        <v>8628000</v>
      </c>
      <c r="O256" s="139">
        <v>13208000</v>
      </c>
      <c r="P256" s="139">
        <f t="shared" si="9"/>
        <v>16178.25</v>
      </c>
      <c r="Q256" s="139">
        <f t="shared" si="10"/>
        <v>22013</v>
      </c>
      <c r="R256" s="139">
        <v>39569</v>
      </c>
      <c r="S256" s="139">
        <f t="shared" si="11"/>
        <v>5672611.8400000008</v>
      </c>
      <c r="U256" s="139" t="s">
        <v>276</v>
      </c>
    </row>
    <row r="257" spans="1:21" x14ac:dyDescent="0.2">
      <c r="A257" s="139" t="s">
        <v>691</v>
      </c>
      <c r="C257" s="139" t="s">
        <v>350</v>
      </c>
      <c r="D257" s="139">
        <v>24</v>
      </c>
      <c r="E257" s="139">
        <v>0</v>
      </c>
      <c r="F257" s="139">
        <v>2703</v>
      </c>
      <c r="G257" s="139">
        <v>2703</v>
      </c>
      <c r="H257" s="139">
        <v>0</v>
      </c>
      <c r="I257" s="139">
        <v>0</v>
      </c>
      <c r="J257" s="139">
        <v>1</v>
      </c>
      <c r="K257" s="139">
        <v>3</v>
      </c>
      <c r="L257" s="139">
        <v>0</v>
      </c>
      <c r="M257" s="139">
        <v>0</v>
      </c>
      <c r="N257" s="139">
        <v>1200000</v>
      </c>
      <c r="O257" s="139">
        <v>0</v>
      </c>
      <c r="P257" s="139">
        <f t="shared" si="9"/>
        <v>981.75</v>
      </c>
      <c r="Q257" s="139">
        <f t="shared" si="10"/>
        <v>675.75</v>
      </c>
      <c r="R257" s="139">
        <v>13428</v>
      </c>
      <c r="S257" s="139">
        <f t="shared" si="11"/>
        <v>1925038.0800000001</v>
      </c>
      <c r="U257" s="139" t="s">
        <v>350</v>
      </c>
    </row>
    <row r="258" spans="1:21" x14ac:dyDescent="0.2">
      <c r="A258" s="139" t="s">
        <v>697</v>
      </c>
      <c r="C258" s="139" t="s">
        <v>306</v>
      </c>
      <c r="D258" s="139">
        <v>601</v>
      </c>
      <c r="E258" s="139">
        <v>911</v>
      </c>
      <c r="F258" s="139">
        <v>700</v>
      </c>
      <c r="G258" s="139">
        <v>851</v>
      </c>
      <c r="H258" s="139">
        <v>1345</v>
      </c>
      <c r="I258" s="139">
        <v>762</v>
      </c>
      <c r="J258" s="139">
        <v>1027</v>
      </c>
      <c r="K258" s="139">
        <v>437</v>
      </c>
      <c r="L258" s="139">
        <v>785</v>
      </c>
      <c r="M258" s="139">
        <v>980</v>
      </c>
      <c r="N258" s="139">
        <v>642000</v>
      </c>
      <c r="O258" s="139">
        <v>142000</v>
      </c>
      <c r="P258" s="139">
        <f t="shared" si="9"/>
        <v>822</v>
      </c>
      <c r="Q258" s="139">
        <f t="shared" si="10"/>
        <v>666.5</v>
      </c>
      <c r="R258" s="139">
        <v>10185</v>
      </c>
      <c r="S258" s="139">
        <f t="shared" si="11"/>
        <v>1460121.6000000001</v>
      </c>
      <c r="U258" s="139" t="s">
        <v>306</v>
      </c>
    </row>
    <row r="259" spans="1:21" x14ac:dyDescent="0.2">
      <c r="A259" s="139" t="s">
        <v>692</v>
      </c>
      <c r="C259" s="139" t="s">
        <v>277</v>
      </c>
      <c r="D259" s="139">
        <v>5260</v>
      </c>
      <c r="E259" s="139">
        <v>8075</v>
      </c>
      <c r="F259" s="139">
        <v>2450</v>
      </c>
      <c r="G259" s="139">
        <v>10309</v>
      </c>
      <c r="H259" s="139">
        <v>11908</v>
      </c>
      <c r="I259" s="139">
        <v>17022</v>
      </c>
      <c r="J259" s="139">
        <v>22919</v>
      </c>
      <c r="K259" s="139">
        <v>26042</v>
      </c>
      <c r="L259" s="139">
        <v>8801</v>
      </c>
      <c r="M259" s="139">
        <v>22812</v>
      </c>
      <c r="N259" s="139">
        <v>21414000</v>
      </c>
      <c r="O259" s="139">
        <v>20544000</v>
      </c>
      <c r="P259" s="139">
        <f t="shared" si="9"/>
        <v>10258</v>
      </c>
      <c r="Q259" s="139">
        <f t="shared" si="10"/>
        <v>13987.5</v>
      </c>
      <c r="R259" s="139">
        <v>47388</v>
      </c>
      <c r="S259" s="139">
        <f t="shared" ref="S259:S322" si="12">R259*143.36</f>
        <v>6793543.6800000006</v>
      </c>
      <c r="U259" s="139" t="s">
        <v>277</v>
      </c>
    </row>
    <row r="260" spans="1:21" x14ac:dyDescent="0.2">
      <c r="A260" s="139" t="s">
        <v>694</v>
      </c>
      <c r="C260" s="139" t="s">
        <v>401</v>
      </c>
      <c r="D260" s="139">
        <v>21646</v>
      </c>
      <c r="E260" s="139">
        <v>21600</v>
      </c>
      <c r="F260" s="139">
        <v>20010</v>
      </c>
      <c r="G260" s="139">
        <v>20978</v>
      </c>
      <c r="H260" s="139">
        <v>16801</v>
      </c>
      <c r="I260" s="139">
        <v>17915</v>
      </c>
      <c r="J260" s="139">
        <v>8527</v>
      </c>
      <c r="K260" s="139">
        <v>12824</v>
      </c>
      <c r="L260" s="139">
        <v>16933</v>
      </c>
      <c r="M260" s="139">
        <v>17939</v>
      </c>
      <c r="N260" s="139">
        <v>13026000</v>
      </c>
      <c r="O260" s="139">
        <v>12240000</v>
      </c>
      <c r="P260" s="139">
        <f t="shared" ref="P260:P321" si="13">SUM(D260,F260,H260,N260/1000)/4</f>
        <v>17870.75</v>
      </c>
      <c r="Q260" s="139">
        <f t="shared" ref="Q260:Q321" si="14">SUM(E260,G260,I260,O260/1000)/4</f>
        <v>18183.25</v>
      </c>
      <c r="R260" s="139">
        <v>32286</v>
      </c>
      <c r="S260" s="139">
        <f t="shared" si="12"/>
        <v>4628520.9600000009</v>
      </c>
      <c r="U260" s="139" t="s">
        <v>401</v>
      </c>
    </row>
    <row r="261" spans="1:21" x14ac:dyDescent="0.2">
      <c r="A261" s="139" t="s">
        <v>699</v>
      </c>
      <c r="C261" s="139" t="s">
        <v>516</v>
      </c>
      <c r="D261" s="139">
        <v>18145</v>
      </c>
      <c r="E261" s="139">
        <v>17525</v>
      </c>
      <c r="F261" s="139">
        <v>8797</v>
      </c>
      <c r="G261" s="139">
        <v>7863</v>
      </c>
      <c r="H261" s="139">
        <v>13326</v>
      </c>
      <c r="I261" s="139">
        <v>14624</v>
      </c>
      <c r="J261" s="139">
        <v>14267</v>
      </c>
      <c r="K261" s="139">
        <v>15290</v>
      </c>
      <c r="L261" s="139">
        <v>15165</v>
      </c>
      <c r="M261" s="139">
        <v>15525</v>
      </c>
      <c r="N261" s="139">
        <v>8228000</v>
      </c>
      <c r="O261" s="139">
        <v>10920000</v>
      </c>
      <c r="P261" s="139">
        <f t="shared" si="13"/>
        <v>12124</v>
      </c>
      <c r="Q261" s="139">
        <f t="shared" si="14"/>
        <v>12733</v>
      </c>
      <c r="R261" s="139">
        <v>43354</v>
      </c>
      <c r="S261" s="139">
        <f t="shared" si="12"/>
        <v>6215229.4400000004</v>
      </c>
      <c r="U261" s="139" t="s">
        <v>516</v>
      </c>
    </row>
    <row r="262" spans="1:21" x14ac:dyDescent="0.2">
      <c r="A262" s="139" t="s">
        <v>698</v>
      </c>
      <c r="C262" s="139" t="s">
        <v>189</v>
      </c>
      <c r="D262" s="139">
        <v>402</v>
      </c>
      <c r="E262" s="139">
        <v>441</v>
      </c>
      <c r="F262" s="139">
        <v>11</v>
      </c>
      <c r="G262" s="139">
        <v>47</v>
      </c>
      <c r="H262" s="139">
        <v>11</v>
      </c>
      <c r="I262" s="139">
        <v>112</v>
      </c>
      <c r="J262" s="139">
        <v>7</v>
      </c>
      <c r="K262" s="139">
        <v>438</v>
      </c>
      <c r="L262" s="139">
        <v>600</v>
      </c>
      <c r="M262" s="139">
        <v>393</v>
      </c>
      <c r="N262" s="139">
        <v>20000</v>
      </c>
      <c r="O262" s="139">
        <v>224000</v>
      </c>
      <c r="P262" s="139">
        <f t="shared" si="13"/>
        <v>111</v>
      </c>
      <c r="Q262" s="139">
        <f t="shared" si="14"/>
        <v>206</v>
      </c>
      <c r="R262" s="139">
        <v>12548</v>
      </c>
      <c r="S262" s="139">
        <f t="shared" si="12"/>
        <v>1798881.2800000003</v>
      </c>
      <c r="U262" s="139" t="s">
        <v>189</v>
      </c>
    </row>
    <row r="263" spans="1:21" x14ac:dyDescent="0.2">
      <c r="A263" s="139" t="s">
        <v>694</v>
      </c>
      <c r="C263" s="139" t="s">
        <v>402</v>
      </c>
      <c r="D263" s="139">
        <v>40732</v>
      </c>
      <c r="E263" s="139">
        <v>30736</v>
      </c>
      <c r="F263" s="139">
        <v>76591</v>
      </c>
      <c r="G263" s="139">
        <v>82598</v>
      </c>
      <c r="H263" s="139">
        <v>21584</v>
      </c>
      <c r="I263" s="139">
        <v>24110</v>
      </c>
      <c r="J263" s="139">
        <v>30020</v>
      </c>
      <c r="K263" s="139">
        <v>41192</v>
      </c>
      <c r="L263" s="139">
        <v>13414</v>
      </c>
      <c r="M263" s="139">
        <v>19038</v>
      </c>
      <c r="N263" s="139">
        <v>21146000</v>
      </c>
      <c r="O263" s="139">
        <v>23035000</v>
      </c>
      <c r="P263" s="139">
        <f t="shared" si="13"/>
        <v>40013.25</v>
      </c>
      <c r="Q263" s="139">
        <f t="shared" si="14"/>
        <v>40119.75</v>
      </c>
      <c r="R263" s="139">
        <v>52670</v>
      </c>
      <c r="S263" s="139">
        <f t="shared" si="12"/>
        <v>7550771.2000000011</v>
      </c>
      <c r="U263" s="139" t="s">
        <v>402</v>
      </c>
    </row>
    <row r="264" spans="1:21" x14ac:dyDescent="0.2">
      <c r="A264" s="139" t="s">
        <v>691</v>
      </c>
      <c r="C264" s="139" t="s">
        <v>351</v>
      </c>
      <c r="D264" s="139">
        <v>19320</v>
      </c>
      <c r="E264" s="139">
        <v>10187</v>
      </c>
      <c r="F264" s="139">
        <v>6497</v>
      </c>
      <c r="G264" s="139">
        <v>1585</v>
      </c>
      <c r="H264" s="139">
        <v>6421</v>
      </c>
      <c r="I264" s="139">
        <v>5384</v>
      </c>
      <c r="J264" s="139">
        <v>16124</v>
      </c>
      <c r="K264" s="139">
        <v>16365</v>
      </c>
      <c r="L264" s="139">
        <v>16995</v>
      </c>
      <c r="M264" s="139">
        <v>23723</v>
      </c>
      <c r="N264" s="139">
        <v>22507000</v>
      </c>
      <c r="O264" s="139">
        <v>17974000</v>
      </c>
      <c r="P264" s="139">
        <f t="shared" si="13"/>
        <v>13686.25</v>
      </c>
      <c r="Q264" s="139">
        <f t="shared" si="14"/>
        <v>8782.5</v>
      </c>
      <c r="R264" s="139">
        <v>79895</v>
      </c>
      <c r="S264" s="139">
        <f t="shared" si="12"/>
        <v>11453747.200000001</v>
      </c>
      <c r="U264" s="139" t="s">
        <v>351</v>
      </c>
    </row>
    <row r="265" spans="1:21" x14ac:dyDescent="0.2">
      <c r="A265" s="139" t="s">
        <v>692</v>
      </c>
      <c r="C265" s="139" t="s">
        <v>278</v>
      </c>
      <c r="D265" s="139">
        <v>5794</v>
      </c>
      <c r="E265" s="139">
        <v>5793</v>
      </c>
      <c r="F265" s="139">
        <v>4943</v>
      </c>
      <c r="G265" s="139">
        <v>4943</v>
      </c>
      <c r="H265" s="139">
        <v>2142</v>
      </c>
      <c r="I265" s="139">
        <v>2141</v>
      </c>
      <c r="J265" s="139">
        <v>1963</v>
      </c>
      <c r="K265" s="139">
        <v>964</v>
      </c>
      <c r="L265" s="139">
        <v>4162</v>
      </c>
      <c r="M265" s="139">
        <v>1700</v>
      </c>
      <c r="N265" s="139">
        <v>2981000</v>
      </c>
      <c r="O265" s="139">
        <v>-1004000</v>
      </c>
      <c r="P265" s="139">
        <f t="shared" si="13"/>
        <v>3965</v>
      </c>
      <c r="Q265" s="139">
        <f t="shared" si="14"/>
        <v>2968.25</v>
      </c>
      <c r="R265" s="139">
        <v>24418</v>
      </c>
      <c r="S265" s="139">
        <f t="shared" si="12"/>
        <v>3500564.4800000004</v>
      </c>
      <c r="U265" s="139" t="s">
        <v>278</v>
      </c>
    </row>
    <row r="266" spans="1:21" x14ac:dyDescent="0.2">
      <c r="A266" s="139" t="s">
        <v>695</v>
      </c>
      <c r="C266" s="139" t="s">
        <v>232</v>
      </c>
      <c r="D266" s="139">
        <v>3936</v>
      </c>
      <c r="E266" s="139">
        <v>4879</v>
      </c>
      <c r="F266" s="139">
        <v>4105</v>
      </c>
      <c r="G266" s="139">
        <v>10015</v>
      </c>
      <c r="H266" s="139">
        <v>5961</v>
      </c>
      <c r="I266" s="139">
        <v>6972</v>
      </c>
      <c r="J266" s="139">
        <v>4901</v>
      </c>
      <c r="K266" s="139">
        <v>3060</v>
      </c>
      <c r="L266" s="139">
        <v>22695</v>
      </c>
      <c r="M266" s="139">
        <v>22742</v>
      </c>
      <c r="N266" s="139">
        <v>2747000</v>
      </c>
      <c r="O266" s="139">
        <v>3797000</v>
      </c>
      <c r="P266" s="139">
        <f t="shared" si="13"/>
        <v>4187.25</v>
      </c>
      <c r="Q266" s="139">
        <f t="shared" si="14"/>
        <v>6415.75</v>
      </c>
      <c r="R266" s="139">
        <v>36905</v>
      </c>
      <c r="S266" s="139">
        <f t="shared" si="12"/>
        <v>5290700.8000000007</v>
      </c>
      <c r="U266" s="139" t="s">
        <v>232</v>
      </c>
    </row>
    <row r="267" spans="1:21" x14ac:dyDescent="0.2">
      <c r="A267" s="139" t="s">
        <v>701</v>
      </c>
      <c r="C267" s="139" t="s">
        <v>427</v>
      </c>
      <c r="D267" s="139">
        <v>15992</v>
      </c>
      <c r="E267" s="139">
        <v>15177</v>
      </c>
      <c r="F267" s="139">
        <v>5009</v>
      </c>
      <c r="G267" s="139">
        <v>4851</v>
      </c>
      <c r="H267" s="139">
        <v>5019</v>
      </c>
      <c r="I267" s="139">
        <v>2821</v>
      </c>
      <c r="J267" s="139">
        <v>5358</v>
      </c>
      <c r="K267" s="139">
        <v>3362</v>
      </c>
      <c r="L267" s="139">
        <v>3498</v>
      </c>
      <c r="M267" s="139">
        <v>2562</v>
      </c>
      <c r="N267" s="139">
        <v>3465000</v>
      </c>
      <c r="O267" s="139">
        <v>2479000</v>
      </c>
      <c r="P267" s="139">
        <f t="shared" si="13"/>
        <v>7371.25</v>
      </c>
      <c r="Q267" s="139">
        <f t="shared" si="14"/>
        <v>6332</v>
      </c>
      <c r="R267" s="139">
        <v>22362</v>
      </c>
      <c r="S267" s="139">
        <f t="shared" si="12"/>
        <v>3205816.3200000003</v>
      </c>
      <c r="U267" s="139" t="s">
        <v>427</v>
      </c>
    </row>
    <row r="268" spans="1:21" x14ac:dyDescent="0.2">
      <c r="A268" s="139" t="s">
        <v>692</v>
      </c>
      <c r="C268" s="139" t="s">
        <v>279</v>
      </c>
      <c r="D268" s="139">
        <v>1937</v>
      </c>
      <c r="E268" s="139">
        <v>2372</v>
      </c>
      <c r="F268" s="139">
        <v>3273</v>
      </c>
      <c r="G268" s="139">
        <v>3550</v>
      </c>
      <c r="H268" s="139">
        <v>1373</v>
      </c>
      <c r="I268" s="139">
        <v>2332</v>
      </c>
      <c r="J268" s="139">
        <v>590</v>
      </c>
      <c r="K268" s="139">
        <v>912</v>
      </c>
      <c r="L268" s="139">
        <v>1191</v>
      </c>
      <c r="M268" s="139">
        <v>2291</v>
      </c>
      <c r="N268" s="139">
        <v>1677000</v>
      </c>
      <c r="O268" s="139">
        <v>3159000</v>
      </c>
      <c r="P268" s="139">
        <f t="shared" si="13"/>
        <v>2065</v>
      </c>
      <c r="Q268" s="139">
        <f t="shared" si="14"/>
        <v>2853.25</v>
      </c>
      <c r="R268" s="139">
        <v>31405</v>
      </c>
      <c r="S268" s="139">
        <f t="shared" si="12"/>
        <v>4502220.8000000007</v>
      </c>
      <c r="U268" s="139" t="s">
        <v>279</v>
      </c>
    </row>
    <row r="269" spans="1:21" x14ac:dyDescent="0.2">
      <c r="A269" s="139" t="s">
        <v>697</v>
      </c>
      <c r="C269" s="139" t="s">
        <v>307</v>
      </c>
      <c r="D269" s="139">
        <v>7823</v>
      </c>
      <c r="E269" s="139">
        <v>7973</v>
      </c>
      <c r="F269" s="139">
        <v>7916</v>
      </c>
      <c r="G269" s="139">
        <v>6926</v>
      </c>
      <c r="H269" s="139">
        <v>4407</v>
      </c>
      <c r="I269" s="139">
        <v>4412</v>
      </c>
      <c r="J269" s="139">
        <v>1457</v>
      </c>
      <c r="K269" s="139">
        <v>1408</v>
      </c>
      <c r="L269" s="139">
        <v>1415</v>
      </c>
      <c r="M269" s="139">
        <v>1387</v>
      </c>
      <c r="N269" s="139">
        <v>5096000</v>
      </c>
      <c r="O269" s="139">
        <v>4013000</v>
      </c>
      <c r="P269" s="139">
        <f t="shared" si="13"/>
        <v>6310.5</v>
      </c>
      <c r="Q269" s="139">
        <f t="shared" si="14"/>
        <v>5831</v>
      </c>
      <c r="R269" s="139">
        <v>5101</v>
      </c>
      <c r="S269" s="139">
        <f t="shared" si="12"/>
        <v>731279.3600000001</v>
      </c>
      <c r="U269" s="139" t="s">
        <v>307</v>
      </c>
    </row>
    <row r="270" spans="1:21" x14ac:dyDescent="0.2">
      <c r="A270" s="139" t="s">
        <v>690</v>
      </c>
      <c r="C270" s="139" t="s">
        <v>476</v>
      </c>
      <c r="D270" s="139">
        <v>7948</v>
      </c>
      <c r="E270" s="139">
        <v>8032</v>
      </c>
      <c r="F270" s="139">
        <v>5218</v>
      </c>
      <c r="G270" s="139">
        <v>16254</v>
      </c>
      <c r="H270" s="139">
        <v>7158</v>
      </c>
      <c r="I270" s="139">
        <v>6797</v>
      </c>
      <c r="J270" s="139">
        <v>3834</v>
      </c>
      <c r="K270" s="139">
        <v>3921</v>
      </c>
      <c r="L270" s="139">
        <v>6870</v>
      </c>
      <c r="M270" s="139">
        <v>4715</v>
      </c>
      <c r="N270" s="139">
        <v>3794000</v>
      </c>
      <c r="O270" s="139">
        <v>7961000</v>
      </c>
      <c r="P270" s="139">
        <f t="shared" si="13"/>
        <v>6029.5</v>
      </c>
      <c r="Q270" s="139">
        <f t="shared" si="14"/>
        <v>9761</v>
      </c>
      <c r="R270" s="139">
        <v>12908</v>
      </c>
      <c r="S270" s="139">
        <f t="shared" si="12"/>
        <v>1850490.8800000001</v>
      </c>
      <c r="U270" s="139" t="s">
        <v>476</v>
      </c>
    </row>
    <row r="271" spans="1:21" x14ac:dyDescent="0.2">
      <c r="A271" s="139" t="s">
        <v>692</v>
      </c>
      <c r="C271" s="139" t="s">
        <v>280</v>
      </c>
      <c r="D271" s="139">
        <v>2150</v>
      </c>
      <c r="E271" s="139">
        <v>2462</v>
      </c>
      <c r="F271" s="139">
        <v>4560</v>
      </c>
      <c r="G271" s="139">
        <v>4219</v>
      </c>
      <c r="H271" s="139">
        <v>1840</v>
      </c>
      <c r="I271" s="139">
        <v>1958</v>
      </c>
      <c r="J271" s="139">
        <v>1008</v>
      </c>
      <c r="K271" s="139">
        <v>3370</v>
      </c>
      <c r="L271" s="139">
        <v>1447</v>
      </c>
      <c r="M271" s="139">
        <v>1620</v>
      </c>
      <c r="N271" s="139">
        <v>1216000</v>
      </c>
      <c r="O271" s="139">
        <v>660000</v>
      </c>
      <c r="P271" s="139">
        <f t="shared" si="13"/>
        <v>2441.5</v>
      </c>
      <c r="Q271" s="139">
        <f t="shared" si="14"/>
        <v>2324.75</v>
      </c>
      <c r="R271" s="139">
        <v>43650</v>
      </c>
      <c r="S271" s="139">
        <f t="shared" si="12"/>
        <v>6257664.0000000009</v>
      </c>
      <c r="U271" s="139" t="s">
        <v>280</v>
      </c>
    </row>
    <row r="272" spans="1:21" x14ac:dyDescent="0.2">
      <c r="A272" s="139" t="s">
        <v>697</v>
      </c>
      <c r="C272" s="139" t="s">
        <v>308</v>
      </c>
      <c r="D272" s="139">
        <v>3589</v>
      </c>
      <c r="E272" s="139">
        <v>3727</v>
      </c>
      <c r="F272" s="139">
        <v>3089</v>
      </c>
      <c r="G272" s="139">
        <v>3153</v>
      </c>
      <c r="H272" s="139">
        <v>5737</v>
      </c>
      <c r="I272" s="139">
        <v>2850</v>
      </c>
      <c r="J272" s="139">
        <v>2429</v>
      </c>
      <c r="K272" s="139">
        <v>2073</v>
      </c>
      <c r="L272" s="139">
        <v>1452</v>
      </c>
      <c r="M272" s="139">
        <v>1448</v>
      </c>
      <c r="N272" s="139">
        <v>1453000</v>
      </c>
      <c r="O272" s="139">
        <v>1232000</v>
      </c>
      <c r="P272" s="139">
        <f t="shared" si="13"/>
        <v>3467</v>
      </c>
      <c r="Q272" s="139">
        <f t="shared" si="14"/>
        <v>2740.5</v>
      </c>
      <c r="R272" s="139">
        <v>19590</v>
      </c>
      <c r="S272" s="139">
        <f t="shared" si="12"/>
        <v>2808422.4000000004</v>
      </c>
      <c r="U272" s="139" t="s">
        <v>308</v>
      </c>
    </row>
    <row r="273" spans="1:21" x14ac:dyDescent="0.2">
      <c r="A273" s="139" t="s">
        <v>694</v>
      </c>
      <c r="C273" s="139" t="s">
        <v>403</v>
      </c>
      <c r="D273" s="139">
        <v>16601</v>
      </c>
      <c r="E273" s="139">
        <v>16900</v>
      </c>
      <c r="F273" s="139">
        <v>7928</v>
      </c>
      <c r="G273" s="139">
        <v>6043</v>
      </c>
      <c r="H273" s="139">
        <v>6688</v>
      </c>
      <c r="I273" s="139">
        <v>7581</v>
      </c>
      <c r="J273" s="139">
        <v>4914</v>
      </c>
      <c r="K273" s="139">
        <v>4932</v>
      </c>
      <c r="L273" s="139">
        <v>9147</v>
      </c>
      <c r="M273" s="139">
        <v>9773</v>
      </c>
      <c r="N273" s="139">
        <v>9378000</v>
      </c>
      <c r="O273" s="139">
        <v>8984000</v>
      </c>
      <c r="P273" s="139">
        <f t="shared" si="13"/>
        <v>10148.75</v>
      </c>
      <c r="Q273" s="139">
        <f t="shared" si="14"/>
        <v>9877</v>
      </c>
      <c r="R273" s="139">
        <v>45411</v>
      </c>
      <c r="S273" s="139">
        <f t="shared" si="12"/>
        <v>6510120.9600000009</v>
      </c>
      <c r="U273" s="139" t="s">
        <v>403</v>
      </c>
    </row>
    <row r="274" spans="1:21" x14ac:dyDescent="0.2">
      <c r="A274" s="139" t="s">
        <v>692</v>
      </c>
      <c r="C274" s="139" t="s">
        <v>281</v>
      </c>
      <c r="D274" s="139">
        <v>954</v>
      </c>
      <c r="E274" s="139">
        <v>984</v>
      </c>
      <c r="F274" s="139">
        <v>983</v>
      </c>
      <c r="G274" s="139">
        <v>1217</v>
      </c>
      <c r="H274" s="139">
        <v>348</v>
      </c>
      <c r="I274" s="139">
        <v>744</v>
      </c>
      <c r="J274" s="139">
        <v>242</v>
      </c>
      <c r="K274" s="139">
        <v>712</v>
      </c>
      <c r="L274" s="139">
        <v>238</v>
      </c>
      <c r="M274" s="139">
        <v>267</v>
      </c>
      <c r="N274" s="139">
        <v>568000</v>
      </c>
      <c r="O274" s="139">
        <v>129000</v>
      </c>
      <c r="P274" s="139">
        <f t="shared" si="13"/>
        <v>713.25</v>
      </c>
      <c r="Q274" s="139">
        <f t="shared" si="14"/>
        <v>768.5</v>
      </c>
      <c r="R274" s="139">
        <v>10848</v>
      </c>
      <c r="S274" s="139">
        <f t="shared" si="12"/>
        <v>1555169.2800000003</v>
      </c>
      <c r="U274" s="139" t="s">
        <v>281</v>
      </c>
    </row>
    <row r="275" spans="1:21" x14ac:dyDescent="0.2">
      <c r="A275" s="139" t="s">
        <v>695</v>
      </c>
      <c r="C275" s="139" t="s">
        <v>233</v>
      </c>
      <c r="D275" s="139">
        <v>7481</v>
      </c>
      <c r="E275" s="139">
        <v>8671</v>
      </c>
      <c r="F275" s="139">
        <v>2423</v>
      </c>
      <c r="G275" s="139">
        <v>1935</v>
      </c>
      <c r="H275" s="139">
        <v>1284</v>
      </c>
      <c r="I275" s="139">
        <v>2441</v>
      </c>
      <c r="J275" s="139">
        <v>2362</v>
      </c>
      <c r="K275" s="139">
        <v>2471</v>
      </c>
      <c r="L275" s="139">
        <v>1543</v>
      </c>
      <c r="M275" s="139">
        <v>879</v>
      </c>
      <c r="N275" s="139">
        <v>8412000</v>
      </c>
      <c r="O275" s="139">
        <v>8337000</v>
      </c>
      <c r="P275" s="139">
        <f t="shared" si="13"/>
        <v>4900</v>
      </c>
      <c r="Q275" s="139">
        <f t="shared" si="14"/>
        <v>5346</v>
      </c>
      <c r="R275" s="139">
        <v>37979</v>
      </c>
      <c r="S275" s="139">
        <f t="shared" si="12"/>
        <v>5444669.4400000004</v>
      </c>
      <c r="U275" s="139" t="s">
        <v>233</v>
      </c>
    </row>
    <row r="276" spans="1:21" x14ac:dyDescent="0.2">
      <c r="A276" s="139" t="s">
        <v>694</v>
      </c>
      <c r="C276" s="139" t="s">
        <v>404</v>
      </c>
      <c r="D276" s="139">
        <v>23512</v>
      </c>
      <c r="E276" s="139">
        <v>24240</v>
      </c>
      <c r="F276" s="139">
        <v>28603</v>
      </c>
      <c r="G276" s="139">
        <v>28720</v>
      </c>
      <c r="H276" s="139">
        <v>16970</v>
      </c>
      <c r="I276" s="139">
        <v>25081</v>
      </c>
      <c r="J276" s="139">
        <v>34869</v>
      </c>
      <c r="K276" s="139">
        <v>36276</v>
      </c>
      <c r="L276" s="139">
        <v>17485</v>
      </c>
      <c r="M276" s="139">
        <v>18162</v>
      </c>
      <c r="N276" s="139">
        <v>26970000</v>
      </c>
      <c r="O276" s="139">
        <v>28087000</v>
      </c>
      <c r="P276" s="139">
        <f t="shared" si="13"/>
        <v>24013.75</v>
      </c>
      <c r="Q276" s="139">
        <f t="shared" si="14"/>
        <v>26532</v>
      </c>
      <c r="R276" s="139">
        <v>51009</v>
      </c>
      <c r="S276" s="139">
        <f t="shared" si="12"/>
        <v>7312650.2400000012</v>
      </c>
      <c r="U276" s="139" t="s">
        <v>404</v>
      </c>
    </row>
    <row r="277" spans="1:21" x14ac:dyDescent="0.2">
      <c r="A277" s="139" t="s">
        <v>699</v>
      </c>
      <c r="C277" s="139" t="s">
        <v>517</v>
      </c>
      <c r="D277" s="139">
        <v>760</v>
      </c>
      <c r="E277" s="139">
        <v>2183</v>
      </c>
      <c r="F277" s="139">
        <v>3277</v>
      </c>
      <c r="G277" s="139">
        <v>2815</v>
      </c>
      <c r="H277" s="139">
        <v>2023</v>
      </c>
      <c r="I277" s="139">
        <v>123</v>
      </c>
      <c r="J277" s="139">
        <v>20</v>
      </c>
      <c r="K277" s="139">
        <v>21</v>
      </c>
      <c r="L277" s="139">
        <v>1158</v>
      </c>
      <c r="M277" s="139">
        <v>235</v>
      </c>
      <c r="N277" s="139">
        <v>198000</v>
      </c>
      <c r="O277" s="139">
        <v>-3000</v>
      </c>
      <c r="P277" s="139">
        <f t="shared" si="13"/>
        <v>1564.5</v>
      </c>
      <c r="Q277" s="139">
        <f t="shared" si="14"/>
        <v>1279.5</v>
      </c>
      <c r="R277" s="139">
        <v>20692</v>
      </c>
      <c r="S277" s="139">
        <f t="shared" si="12"/>
        <v>2966405.1200000001</v>
      </c>
      <c r="U277" s="139" t="s">
        <v>517</v>
      </c>
    </row>
    <row r="278" spans="1:21" x14ac:dyDescent="0.2">
      <c r="A278" s="139" t="s">
        <v>699</v>
      </c>
      <c r="C278" s="139" t="s">
        <v>518</v>
      </c>
      <c r="D278" s="139">
        <v>16264</v>
      </c>
      <c r="E278" s="139">
        <v>15272</v>
      </c>
      <c r="F278" s="139">
        <v>4724</v>
      </c>
      <c r="G278" s="139">
        <v>3731</v>
      </c>
      <c r="H278" s="139">
        <v>6538</v>
      </c>
      <c r="I278" s="139">
        <v>6672</v>
      </c>
      <c r="J278" s="139">
        <v>3628</v>
      </c>
      <c r="K278" s="139">
        <v>4460</v>
      </c>
      <c r="L278" s="139">
        <v>2984</v>
      </c>
      <c r="M278" s="139">
        <v>3508</v>
      </c>
      <c r="N278" s="139">
        <v>21667000</v>
      </c>
      <c r="O278" s="139">
        <v>23253000</v>
      </c>
      <c r="P278" s="139">
        <f t="shared" si="13"/>
        <v>12298.25</v>
      </c>
      <c r="Q278" s="139">
        <f t="shared" si="14"/>
        <v>12232</v>
      </c>
      <c r="R278" s="139">
        <v>57419</v>
      </c>
      <c r="S278" s="139">
        <f t="shared" si="12"/>
        <v>8231587.8400000008</v>
      </c>
      <c r="U278" s="139" t="s">
        <v>518</v>
      </c>
    </row>
    <row r="279" spans="1:21" x14ac:dyDescent="0.2">
      <c r="A279" s="139" t="s">
        <v>690</v>
      </c>
      <c r="C279" s="139" t="s">
        <v>477</v>
      </c>
      <c r="D279" s="139">
        <v>28334</v>
      </c>
      <c r="E279" s="139">
        <v>34960</v>
      </c>
      <c r="F279" s="139">
        <v>29789</v>
      </c>
      <c r="G279" s="139">
        <v>29229</v>
      </c>
      <c r="H279" s="139">
        <v>38847</v>
      </c>
      <c r="I279" s="139">
        <v>40522</v>
      </c>
      <c r="J279" s="139">
        <v>53970</v>
      </c>
      <c r="K279" s="139">
        <v>55309</v>
      </c>
      <c r="L279" s="139">
        <v>7804</v>
      </c>
      <c r="M279" s="139">
        <v>9740</v>
      </c>
      <c r="N279" s="139">
        <v>14435000</v>
      </c>
      <c r="O279" s="139">
        <v>17669000</v>
      </c>
      <c r="P279" s="139">
        <f t="shared" si="13"/>
        <v>27851.25</v>
      </c>
      <c r="Q279" s="139">
        <f t="shared" si="14"/>
        <v>30595</v>
      </c>
      <c r="R279" s="139">
        <v>77189</v>
      </c>
      <c r="S279" s="139">
        <f t="shared" si="12"/>
        <v>11065815.040000001</v>
      </c>
      <c r="U279" s="139" t="s">
        <v>477</v>
      </c>
    </row>
    <row r="280" spans="1:21" x14ac:dyDescent="0.2">
      <c r="A280" s="139" t="s">
        <v>694</v>
      </c>
      <c r="C280" s="139" t="s">
        <v>405</v>
      </c>
      <c r="D280" s="139">
        <v>218502</v>
      </c>
      <c r="E280" s="139">
        <v>381402</v>
      </c>
      <c r="F280" s="139">
        <v>199123</v>
      </c>
      <c r="G280" s="139">
        <v>136469</v>
      </c>
      <c r="H280" s="139">
        <v>283572</v>
      </c>
      <c r="I280" s="139">
        <v>307703</v>
      </c>
      <c r="J280" s="139">
        <v>200258</v>
      </c>
      <c r="K280" s="139">
        <v>203304</v>
      </c>
      <c r="L280" s="139">
        <v>111946</v>
      </c>
      <c r="M280" s="139">
        <v>134192</v>
      </c>
      <c r="N280" s="139">
        <v>75573545</v>
      </c>
      <c r="O280" s="139">
        <v>35464967</v>
      </c>
      <c r="P280" s="139">
        <f t="shared" si="13"/>
        <v>194192.63625000001</v>
      </c>
      <c r="Q280" s="139">
        <f t="shared" si="14"/>
        <v>215259.74174999999</v>
      </c>
      <c r="R280" s="139">
        <v>638221</v>
      </c>
      <c r="S280" s="139">
        <f t="shared" si="12"/>
        <v>91495362.560000002</v>
      </c>
      <c r="U280" s="139" t="s">
        <v>405</v>
      </c>
    </row>
    <row r="281" spans="1:21" x14ac:dyDescent="0.2">
      <c r="A281" s="139" t="s">
        <v>692</v>
      </c>
      <c r="C281" s="139" t="s">
        <v>282</v>
      </c>
      <c r="D281" s="139">
        <v>0</v>
      </c>
      <c r="E281" s="139">
        <v>2</v>
      </c>
      <c r="F281" s="139">
        <v>5</v>
      </c>
      <c r="G281" s="139">
        <v>2</v>
      </c>
      <c r="H281" s="139">
        <v>0</v>
      </c>
      <c r="I281" s="139">
        <v>6</v>
      </c>
      <c r="J281" s="139">
        <v>221</v>
      </c>
      <c r="K281" s="139">
        <v>222</v>
      </c>
      <c r="L281" s="139">
        <v>256</v>
      </c>
      <c r="M281" s="139">
        <v>255</v>
      </c>
      <c r="N281" s="139">
        <v>549000</v>
      </c>
      <c r="O281" s="139">
        <v>550000</v>
      </c>
      <c r="P281" s="139">
        <f t="shared" si="13"/>
        <v>138.5</v>
      </c>
      <c r="Q281" s="139">
        <f t="shared" si="14"/>
        <v>140</v>
      </c>
      <c r="R281" s="139">
        <v>1495</v>
      </c>
      <c r="S281" s="139">
        <f t="shared" si="12"/>
        <v>214323.20000000001</v>
      </c>
      <c r="U281" s="139" t="s">
        <v>282</v>
      </c>
    </row>
    <row r="282" spans="1:21" x14ac:dyDescent="0.2">
      <c r="A282" s="139" t="s">
        <v>699</v>
      </c>
      <c r="C282" s="139" t="s">
        <v>478</v>
      </c>
      <c r="D282" s="139">
        <v>6180</v>
      </c>
      <c r="E282" s="139">
        <v>4567</v>
      </c>
      <c r="F282" s="139">
        <v>5987</v>
      </c>
      <c r="G282" s="139">
        <v>5547</v>
      </c>
      <c r="H282" s="139">
        <v>3040</v>
      </c>
      <c r="I282" s="139">
        <v>2380</v>
      </c>
      <c r="J282" s="139">
        <v>1601</v>
      </c>
      <c r="K282" s="139">
        <v>3010</v>
      </c>
      <c r="L282" s="139">
        <v>1963</v>
      </c>
      <c r="M282" s="139">
        <v>3247</v>
      </c>
      <c r="N282" s="139">
        <v>2051000</v>
      </c>
      <c r="O282" s="139">
        <v>1860000</v>
      </c>
      <c r="P282" s="139">
        <f t="shared" si="13"/>
        <v>4314.5</v>
      </c>
      <c r="Q282" s="139">
        <f t="shared" si="14"/>
        <v>3588.5</v>
      </c>
      <c r="R282" s="139">
        <v>22333</v>
      </c>
      <c r="S282" s="139">
        <f t="shared" si="12"/>
        <v>3201658.8800000004</v>
      </c>
      <c r="U282" s="139" t="s">
        <v>478</v>
      </c>
    </row>
    <row r="283" spans="1:21" x14ac:dyDescent="0.2">
      <c r="A283" s="139" t="s">
        <v>691</v>
      </c>
      <c r="C283" s="139" t="s">
        <v>352</v>
      </c>
      <c r="D283" s="139">
        <v>5436</v>
      </c>
      <c r="E283" s="139">
        <v>5295</v>
      </c>
      <c r="F283" s="139">
        <v>6944</v>
      </c>
      <c r="G283" s="139">
        <v>7308</v>
      </c>
      <c r="H283" s="139">
        <v>7750</v>
      </c>
      <c r="I283" s="139">
        <v>19147</v>
      </c>
      <c r="J283" s="139">
        <v>1765</v>
      </c>
      <c r="K283" s="139">
        <v>2639</v>
      </c>
      <c r="L283" s="139">
        <v>6375</v>
      </c>
      <c r="M283" s="139">
        <v>7924</v>
      </c>
      <c r="N283" s="139">
        <v>15455000</v>
      </c>
      <c r="O283" s="139">
        <v>14313000</v>
      </c>
      <c r="P283" s="139">
        <f t="shared" si="13"/>
        <v>8896.25</v>
      </c>
      <c r="Q283" s="139">
        <f t="shared" si="14"/>
        <v>11515.75</v>
      </c>
      <c r="R283" s="139">
        <v>46197</v>
      </c>
      <c r="S283" s="139">
        <f t="shared" si="12"/>
        <v>6622801.9200000009</v>
      </c>
      <c r="U283" s="139" t="s">
        <v>352</v>
      </c>
    </row>
    <row r="284" spans="1:21" x14ac:dyDescent="0.2">
      <c r="A284" s="139" t="s">
        <v>692</v>
      </c>
      <c r="C284" s="139" t="s">
        <v>283</v>
      </c>
      <c r="D284" s="139">
        <v>1259</v>
      </c>
      <c r="E284" s="139">
        <v>1259</v>
      </c>
      <c r="F284" s="139">
        <v>295</v>
      </c>
      <c r="G284" s="139">
        <v>297</v>
      </c>
      <c r="H284" s="139">
        <v>413</v>
      </c>
      <c r="I284" s="139">
        <v>414</v>
      </c>
      <c r="J284" s="139">
        <v>534</v>
      </c>
      <c r="K284" s="139">
        <v>2598</v>
      </c>
      <c r="L284" s="139">
        <v>2290</v>
      </c>
      <c r="M284" s="139">
        <v>1621</v>
      </c>
      <c r="N284" s="139">
        <v>5302000</v>
      </c>
      <c r="O284" s="139">
        <v>4348000</v>
      </c>
      <c r="P284" s="139">
        <f t="shared" si="13"/>
        <v>1817.25</v>
      </c>
      <c r="Q284" s="139">
        <f t="shared" si="14"/>
        <v>1579.5</v>
      </c>
      <c r="R284" s="139">
        <v>9701</v>
      </c>
      <c r="S284" s="139">
        <f t="shared" si="12"/>
        <v>1390735.3600000001</v>
      </c>
      <c r="U284" s="139" t="s">
        <v>283</v>
      </c>
    </row>
    <row r="285" spans="1:21" x14ac:dyDescent="0.2">
      <c r="A285" s="139" t="s">
        <v>694</v>
      </c>
      <c r="C285" s="139" t="s">
        <v>406</v>
      </c>
      <c r="D285" s="139">
        <v>37591</v>
      </c>
      <c r="E285" s="139">
        <v>28160</v>
      </c>
      <c r="F285" s="139">
        <v>24649</v>
      </c>
      <c r="G285" s="139">
        <v>29826</v>
      </c>
      <c r="H285" s="139">
        <v>72894</v>
      </c>
      <c r="I285" s="139">
        <v>36744</v>
      </c>
      <c r="J285" s="139">
        <v>29277</v>
      </c>
      <c r="K285" s="139">
        <v>29700</v>
      </c>
      <c r="L285" s="139">
        <v>32407</v>
      </c>
      <c r="M285" s="139">
        <v>28123</v>
      </c>
      <c r="N285" s="139">
        <v>36752000</v>
      </c>
      <c r="O285" s="139">
        <v>31059000</v>
      </c>
      <c r="P285" s="139">
        <f t="shared" si="13"/>
        <v>42971.5</v>
      </c>
      <c r="Q285" s="139">
        <f t="shared" si="14"/>
        <v>31447.25</v>
      </c>
      <c r="R285" s="139">
        <v>77859</v>
      </c>
      <c r="S285" s="139">
        <f t="shared" si="12"/>
        <v>11161866.24</v>
      </c>
      <c r="U285" s="139" t="s">
        <v>406</v>
      </c>
    </row>
    <row r="286" spans="1:21" x14ac:dyDescent="0.2">
      <c r="A286" s="139" t="s">
        <v>693</v>
      </c>
      <c r="C286" s="139" t="s">
        <v>211</v>
      </c>
      <c r="D286" s="139">
        <v>350</v>
      </c>
      <c r="E286" s="139">
        <v>300</v>
      </c>
      <c r="F286" s="139">
        <v>55</v>
      </c>
      <c r="G286" s="139">
        <v>14</v>
      </c>
      <c r="H286" s="139">
        <v>0</v>
      </c>
      <c r="I286" s="139">
        <v>0</v>
      </c>
      <c r="J286" s="139">
        <v>20</v>
      </c>
      <c r="K286" s="139">
        <v>38</v>
      </c>
      <c r="L286" s="139">
        <v>0</v>
      </c>
      <c r="M286" s="139">
        <v>0</v>
      </c>
      <c r="N286" s="139">
        <v>3000</v>
      </c>
      <c r="O286" s="139">
        <v>12000</v>
      </c>
      <c r="P286" s="139">
        <f t="shared" si="13"/>
        <v>102</v>
      </c>
      <c r="Q286" s="139">
        <f t="shared" si="14"/>
        <v>81.5</v>
      </c>
      <c r="R286" s="139">
        <v>941</v>
      </c>
      <c r="S286" s="139">
        <f t="shared" si="12"/>
        <v>134901.76000000001</v>
      </c>
      <c r="U286" s="139" t="s">
        <v>211</v>
      </c>
    </row>
    <row r="287" spans="1:21" x14ac:dyDescent="0.2">
      <c r="A287" s="139" t="s">
        <v>699</v>
      </c>
      <c r="C287" s="139" t="s">
        <v>519</v>
      </c>
      <c r="D287" s="139">
        <v>59</v>
      </c>
      <c r="E287" s="139">
        <v>59</v>
      </c>
      <c r="F287" s="139">
        <v>12</v>
      </c>
      <c r="G287" s="139">
        <v>12</v>
      </c>
      <c r="H287" s="139">
        <v>0</v>
      </c>
      <c r="I287" s="139">
        <v>0</v>
      </c>
      <c r="J287" s="139">
        <v>0</v>
      </c>
      <c r="K287" s="139">
        <v>0</v>
      </c>
      <c r="L287" s="139">
        <v>0</v>
      </c>
      <c r="M287" s="139">
        <v>0</v>
      </c>
      <c r="N287" s="139">
        <v>0</v>
      </c>
      <c r="O287" s="139">
        <v>0</v>
      </c>
      <c r="P287" s="139">
        <f t="shared" si="13"/>
        <v>17.75</v>
      </c>
      <c r="Q287" s="139">
        <f t="shared" si="14"/>
        <v>17.75</v>
      </c>
      <c r="R287" s="139">
        <v>12950</v>
      </c>
      <c r="S287" s="139">
        <f t="shared" si="12"/>
        <v>1856512.0000000002</v>
      </c>
      <c r="U287" s="139" t="s">
        <v>519</v>
      </c>
    </row>
    <row r="288" spans="1:21" x14ac:dyDescent="0.2">
      <c r="A288" s="139" t="s">
        <v>701</v>
      </c>
      <c r="C288" s="139" t="s">
        <v>428</v>
      </c>
      <c r="D288" s="139">
        <v>5337</v>
      </c>
      <c r="E288" s="139">
        <v>5131</v>
      </c>
      <c r="F288" s="139">
        <v>7387</v>
      </c>
      <c r="G288" s="139">
        <v>6404</v>
      </c>
      <c r="H288" s="139">
        <v>972</v>
      </c>
      <c r="I288" s="139">
        <v>4422</v>
      </c>
      <c r="J288" s="139">
        <v>3870</v>
      </c>
      <c r="K288" s="139">
        <v>6640</v>
      </c>
      <c r="L288" s="139">
        <v>6761</v>
      </c>
      <c r="M288" s="139">
        <v>6328</v>
      </c>
      <c r="N288" s="139">
        <v>1927000</v>
      </c>
      <c r="O288" s="139">
        <v>1985000</v>
      </c>
      <c r="P288" s="139">
        <f t="shared" si="13"/>
        <v>3905.75</v>
      </c>
      <c r="Q288" s="139">
        <f t="shared" si="14"/>
        <v>4485.5</v>
      </c>
      <c r="R288" s="139">
        <v>33759</v>
      </c>
      <c r="S288" s="139">
        <f t="shared" si="12"/>
        <v>4839690.2400000002</v>
      </c>
      <c r="U288" s="139" t="s">
        <v>428</v>
      </c>
    </row>
    <row r="289" spans="1:21" x14ac:dyDescent="0.2">
      <c r="A289" s="139" t="s">
        <v>694</v>
      </c>
      <c r="C289" s="139" t="s">
        <v>546</v>
      </c>
      <c r="D289" s="139">
        <v>231879</v>
      </c>
      <c r="E289" s="139">
        <v>283837</v>
      </c>
      <c r="F289" s="139">
        <v>97451</v>
      </c>
      <c r="G289" s="139">
        <v>150573</v>
      </c>
      <c r="H289" s="139">
        <v>42070</v>
      </c>
      <c r="I289" s="139">
        <v>49407</v>
      </c>
      <c r="J289" s="139">
        <v>133714</v>
      </c>
      <c r="K289" s="139">
        <v>158354</v>
      </c>
      <c r="L289" s="139">
        <v>73240</v>
      </c>
      <c r="M289" s="139">
        <v>92628</v>
      </c>
      <c r="N289" s="139">
        <v>89095000</v>
      </c>
      <c r="O289" s="139">
        <v>90972000</v>
      </c>
      <c r="P289" s="139">
        <f t="shared" si="13"/>
        <v>115123.75</v>
      </c>
      <c r="Q289" s="139">
        <f t="shared" si="14"/>
        <v>143697.25</v>
      </c>
      <c r="R289" s="139">
        <v>524305</v>
      </c>
      <c r="S289" s="139">
        <f t="shared" si="12"/>
        <v>75164364.800000012</v>
      </c>
      <c r="U289" s="139" t="s">
        <v>546</v>
      </c>
    </row>
    <row r="290" spans="1:21" x14ac:dyDescent="0.2">
      <c r="A290" s="139" t="s">
        <v>690</v>
      </c>
      <c r="C290" s="139" t="s">
        <v>597</v>
      </c>
      <c r="D290" s="139">
        <v>48681.428925912798</v>
      </c>
      <c r="E290" s="139">
        <v>46962.585962424673</v>
      </c>
      <c r="F290" s="139">
        <v>51215.391705069123</v>
      </c>
      <c r="G290" s="139">
        <v>53943.05281814959</v>
      </c>
      <c r="H290" s="139">
        <v>43110.174760723152</v>
      </c>
      <c r="I290" s="139">
        <v>50800.778092874869</v>
      </c>
      <c r="J290" s="139">
        <v>29602.707904998228</v>
      </c>
      <c r="K290" s="139">
        <v>32071.861042183624</v>
      </c>
      <c r="L290" s="139">
        <v>36619.441881100269</v>
      </c>
      <c r="M290" s="139">
        <v>42891.483584738242</v>
      </c>
      <c r="N290" s="139">
        <v>21650000</v>
      </c>
      <c r="O290" s="139">
        <v>21087000</v>
      </c>
      <c r="P290" s="139">
        <f t="shared" si="13"/>
        <v>41164.248847926268</v>
      </c>
      <c r="Q290" s="139">
        <f t="shared" si="14"/>
        <v>43198.354218362278</v>
      </c>
      <c r="R290" s="139">
        <v>152472</v>
      </c>
      <c r="S290" s="139">
        <f t="shared" si="12"/>
        <v>21858385.920000002</v>
      </c>
      <c r="U290" s="139" t="s">
        <v>597</v>
      </c>
    </row>
    <row r="291" spans="1:21" x14ac:dyDescent="0.2">
      <c r="A291" s="139" t="s">
        <v>699</v>
      </c>
      <c r="C291" s="139" t="s">
        <v>520</v>
      </c>
      <c r="D291" s="139">
        <v>27</v>
      </c>
      <c r="E291" s="139">
        <v>162</v>
      </c>
      <c r="F291" s="139">
        <v>22</v>
      </c>
      <c r="G291" s="139">
        <v>132</v>
      </c>
      <c r="H291" s="139">
        <v>21</v>
      </c>
      <c r="I291" s="139">
        <v>74</v>
      </c>
      <c r="J291" s="139">
        <v>54</v>
      </c>
      <c r="K291" s="139">
        <v>129</v>
      </c>
      <c r="L291" s="139">
        <v>580</v>
      </c>
      <c r="M291" s="139">
        <v>64</v>
      </c>
      <c r="N291" s="139">
        <v>98000</v>
      </c>
      <c r="O291" s="139">
        <v>97000</v>
      </c>
      <c r="P291" s="139">
        <f t="shared" si="13"/>
        <v>42</v>
      </c>
      <c r="Q291" s="139">
        <f t="shared" si="14"/>
        <v>116.25</v>
      </c>
      <c r="R291" s="139">
        <v>10569</v>
      </c>
      <c r="S291" s="139">
        <f t="shared" si="12"/>
        <v>1515171.8400000001</v>
      </c>
      <c r="U291" s="139" t="s">
        <v>520</v>
      </c>
    </row>
    <row r="292" spans="1:21" x14ac:dyDescent="0.2">
      <c r="A292" s="139" t="s">
        <v>690</v>
      </c>
      <c r="C292" s="139" t="s">
        <v>542</v>
      </c>
      <c r="D292" s="139">
        <v>4947</v>
      </c>
      <c r="E292" s="139">
        <v>6002</v>
      </c>
      <c r="F292" s="139">
        <v>6333</v>
      </c>
      <c r="G292" s="139">
        <v>7930</v>
      </c>
      <c r="H292" s="139">
        <v>2343</v>
      </c>
      <c r="I292" s="139">
        <v>2708</v>
      </c>
      <c r="J292" s="139">
        <v>1739</v>
      </c>
      <c r="K292" s="139">
        <v>4530</v>
      </c>
      <c r="L292" s="139">
        <v>813</v>
      </c>
      <c r="M292" s="139">
        <v>2567</v>
      </c>
      <c r="N292" s="139">
        <v>1187000</v>
      </c>
      <c r="O292" s="139">
        <v>1244000</v>
      </c>
      <c r="P292" s="139">
        <f t="shared" si="13"/>
        <v>3702.5</v>
      </c>
      <c r="Q292" s="139">
        <f t="shared" si="14"/>
        <v>4471</v>
      </c>
      <c r="R292" s="139">
        <v>11599</v>
      </c>
      <c r="S292" s="139">
        <f t="shared" si="12"/>
        <v>1662832.6400000001</v>
      </c>
      <c r="U292" s="139" t="s">
        <v>542</v>
      </c>
    </row>
    <row r="293" spans="1:21" x14ac:dyDescent="0.2">
      <c r="A293" s="139" t="s">
        <v>690</v>
      </c>
      <c r="C293" s="139" t="s">
        <v>480</v>
      </c>
      <c r="D293" s="139">
        <v>4341</v>
      </c>
      <c r="E293" s="139">
        <v>5419</v>
      </c>
      <c r="F293" s="139">
        <v>2100</v>
      </c>
      <c r="G293" s="139">
        <v>3360</v>
      </c>
      <c r="H293" s="139">
        <v>7288</v>
      </c>
      <c r="I293" s="139">
        <v>4692</v>
      </c>
      <c r="J293" s="139">
        <v>3016</v>
      </c>
      <c r="K293" s="139">
        <v>3823</v>
      </c>
      <c r="L293" s="139">
        <v>3639</v>
      </c>
      <c r="M293" s="139">
        <v>3643</v>
      </c>
      <c r="N293" s="139">
        <v>3930000</v>
      </c>
      <c r="O293" s="139">
        <v>2803000</v>
      </c>
      <c r="P293" s="139">
        <f t="shared" si="13"/>
        <v>4414.75</v>
      </c>
      <c r="Q293" s="139">
        <f t="shared" si="14"/>
        <v>4068.5</v>
      </c>
      <c r="R293" s="139">
        <v>28585</v>
      </c>
      <c r="S293" s="139">
        <f t="shared" si="12"/>
        <v>4097945.6000000006</v>
      </c>
      <c r="U293" s="139" t="s">
        <v>480</v>
      </c>
    </row>
    <row r="294" spans="1:21" x14ac:dyDescent="0.2">
      <c r="A294" s="139" t="s">
        <v>699</v>
      </c>
      <c r="C294" s="139" t="s">
        <v>521</v>
      </c>
      <c r="D294" s="139">
        <v>44702</v>
      </c>
      <c r="E294" s="139">
        <v>48930</v>
      </c>
      <c r="F294" s="139">
        <v>45958</v>
      </c>
      <c r="G294" s="139">
        <v>54153</v>
      </c>
      <c r="H294" s="139">
        <v>23364</v>
      </c>
      <c r="I294" s="139">
        <v>29576</v>
      </c>
      <c r="J294" s="139">
        <v>20141</v>
      </c>
      <c r="K294" s="139">
        <v>21268</v>
      </c>
      <c r="L294" s="139">
        <v>29062</v>
      </c>
      <c r="M294" s="139">
        <v>31221</v>
      </c>
      <c r="N294" s="139">
        <v>11796000</v>
      </c>
      <c r="O294" s="139">
        <v>8430000</v>
      </c>
      <c r="P294" s="139">
        <f t="shared" si="13"/>
        <v>31455</v>
      </c>
      <c r="Q294" s="139">
        <f t="shared" si="14"/>
        <v>35272.25</v>
      </c>
      <c r="R294" s="139">
        <v>93315</v>
      </c>
      <c r="S294" s="139">
        <f t="shared" si="12"/>
        <v>13377638.4</v>
      </c>
      <c r="U294" s="139" t="s">
        <v>521</v>
      </c>
    </row>
    <row r="295" spans="1:21" x14ac:dyDescent="0.2">
      <c r="A295" s="139" t="s">
        <v>694</v>
      </c>
      <c r="C295" s="139" t="s">
        <v>407</v>
      </c>
      <c r="D295" s="139">
        <v>5230</v>
      </c>
      <c r="E295" s="139">
        <v>3760</v>
      </c>
      <c r="F295" s="139">
        <v>2089</v>
      </c>
      <c r="G295" s="139">
        <v>2305</v>
      </c>
      <c r="H295" s="139">
        <v>4198</v>
      </c>
      <c r="I295" s="139">
        <v>4338</v>
      </c>
      <c r="J295" s="139">
        <v>2787</v>
      </c>
      <c r="K295" s="139">
        <v>4051</v>
      </c>
      <c r="L295" s="139">
        <v>597</v>
      </c>
      <c r="M295" s="139">
        <v>1612</v>
      </c>
      <c r="N295" s="139">
        <v>3865000</v>
      </c>
      <c r="O295" s="139">
        <v>3080000</v>
      </c>
      <c r="P295" s="139">
        <f t="shared" si="13"/>
        <v>3845.5</v>
      </c>
      <c r="Q295" s="139">
        <f t="shared" si="14"/>
        <v>3370.75</v>
      </c>
      <c r="R295" s="139">
        <v>24999</v>
      </c>
      <c r="S295" s="139">
        <f t="shared" si="12"/>
        <v>3583856.6400000001</v>
      </c>
      <c r="U295" s="139" t="s">
        <v>407</v>
      </c>
    </row>
    <row r="296" spans="1:21" x14ac:dyDescent="0.2">
      <c r="A296" s="139" t="s">
        <v>698</v>
      </c>
      <c r="C296" s="139" t="s">
        <v>190</v>
      </c>
      <c r="D296" s="139">
        <v>5495</v>
      </c>
      <c r="E296" s="139">
        <v>3540</v>
      </c>
      <c r="F296" s="139">
        <v>4012</v>
      </c>
      <c r="G296" s="139">
        <v>4011</v>
      </c>
      <c r="H296" s="139">
        <v>943</v>
      </c>
      <c r="I296" s="139">
        <v>1072</v>
      </c>
      <c r="J296" s="139">
        <v>1714</v>
      </c>
      <c r="K296" s="139">
        <v>2444</v>
      </c>
      <c r="L296" s="139">
        <v>1795</v>
      </c>
      <c r="M296" s="139">
        <v>2285</v>
      </c>
      <c r="N296" s="139">
        <v>831000</v>
      </c>
      <c r="O296" s="139">
        <v>1034000</v>
      </c>
      <c r="P296" s="139">
        <f t="shared" si="13"/>
        <v>2820.25</v>
      </c>
      <c r="Q296" s="139">
        <f t="shared" si="14"/>
        <v>2414.25</v>
      </c>
      <c r="R296" s="139">
        <v>15768</v>
      </c>
      <c r="S296" s="139">
        <f t="shared" si="12"/>
        <v>2260500.4800000004</v>
      </c>
      <c r="U296" s="139" t="s">
        <v>190</v>
      </c>
    </row>
    <row r="297" spans="1:21" x14ac:dyDescent="0.2">
      <c r="A297" s="139" t="s">
        <v>701</v>
      </c>
      <c r="C297" s="139" t="s">
        <v>429</v>
      </c>
      <c r="D297" s="139">
        <v>2384</v>
      </c>
      <c r="E297" s="139">
        <v>2199</v>
      </c>
      <c r="F297" s="139">
        <v>5653</v>
      </c>
      <c r="G297" s="139">
        <v>6245</v>
      </c>
      <c r="H297" s="139">
        <v>901</v>
      </c>
      <c r="I297" s="139">
        <v>2284</v>
      </c>
      <c r="J297" s="139">
        <v>1433</v>
      </c>
      <c r="K297" s="139">
        <v>1107</v>
      </c>
      <c r="L297" s="139">
        <v>1969</v>
      </c>
      <c r="M297" s="139">
        <v>2745</v>
      </c>
      <c r="N297" s="139">
        <v>300000</v>
      </c>
      <c r="O297" s="139">
        <v>1383000</v>
      </c>
      <c r="P297" s="139">
        <f t="shared" si="13"/>
        <v>2309.5</v>
      </c>
      <c r="Q297" s="139">
        <f t="shared" si="14"/>
        <v>3027.75</v>
      </c>
      <c r="R297" s="139">
        <v>23654</v>
      </c>
      <c r="S297" s="139">
        <f t="shared" si="12"/>
        <v>3391037.4400000004</v>
      </c>
      <c r="U297" s="139" t="s">
        <v>429</v>
      </c>
    </row>
    <row r="298" spans="1:21" x14ac:dyDescent="0.2">
      <c r="A298" s="139" t="s">
        <v>693</v>
      </c>
      <c r="C298" s="139" t="s">
        <v>212</v>
      </c>
      <c r="D298" s="139">
        <v>6977</v>
      </c>
      <c r="E298" s="139">
        <v>7299</v>
      </c>
      <c r="F298" s="139">
        <v>5495</v>
      </c>
      <c r="G298" s="139">
        <v>7228</v>
      </c>
      <c r="H298" s="139">
        <v>2814</v>
      </c>
      <c r="I298" s="139">
        <v>2693</v>
      </c>
      <c r="J298" s="139">
        <v>1921</v>
      </c>
      <c r="K298" s="139">
        <v>5609</v>
      </c>
      <c r="L298" s="139">
        <v>3953</v>
      </c>
      <c r="M298" s="139">
        <v>4394</v>
      </c>
      <c r="N298" s="139">
        <v>848000</v>
      </c>
      <c r="O298" s="139">
        <v>3199000</v>
      </c>
      <c r="P298" s="139">
        <f t="shared" si="13"/>
        <v>4033.5</v>
      </c>
      <c r="Q298" s="139">
        <f t="shared" si="14"/>
        <v>5104.75</v>
      </c>
      <c r="R298" s="139">
        <v>55697</v>
      </c>
      <c r="S298" s="139">
        <f t="shared" si="12"/>
        <v>7984721.9200000009</v>
      </c>
      <c r="U298" s="139" t="s">
        <v>212</v>
      </c>
    </row>
    <row r="299" spans="1:21" x14ac:dyDescent="0.2">
      <c r="A299" s="139" t="s">
        <v>697</v>
      </c>
      <c r="C299" s="139" t="s">
        <v>309</v>
      </c>
      <c r="D299" s="139">
        <v>1152</v>
      </c>
      <c r="E299" s="139">
        <v>1277</v>
      </c>
      <c r="F299" s="139">
        <v>4041</v>
      </c>
      <c r="G299" s="139">
        <v>3634</v>
      </c>
      <c r="H299" s="139">
        <v>6938</v>
      </c>
      <c r="I299" s="139">
        <v>20584</v>
      </c>
      <c r="J299" s="139">
        <v>4530</v>
      </c>
      <c r="K299" s="139">
        <v>6121</v>
      </c>
      <c r="L299" s="139">
        <v>1552</v>
      </c>
      <c r="M299" s="139">
        <v>1707</v>
      </c>
      <c r="N299" s="139">
        <v>1529000</v>
      </c>
      <c r="O299" s="139">
        <v>1365000</v>
      </c>
      <c r="P299" s="139">
        <f t="shared" si="13"/>
        <v>3415</v>
      </c>
      <c r="Q299" s="139">
        <f t="shared" si="14"/>
        <v>6715</v>
      </c>
      <c r="R299" s="139">
        <v>45855</v>
      </c>
      <c r="S299" s="139">
        <f t="shared" si="12"/>
        <v>6573772.8000000007</v>
      </c>
      <c r="U299" s="139" t="s">
        <v>309</v>
      </c>
    </row>
    <row r="300" spans="1:21" x14ac:dyDescent="0.2">
      <c r="A300" s="139" t="s">
        <v>690</v>
      </c>
      <c r="C300" s="139" t="s">
        <v>482</v>
      </c>
      <c r="D300" s="139">
        <v>9418</v>
      </c>
      <c r="E300" s="139">
        <v>11154</v>
      </c>
      <c r="F300" s="139">
        <v>1700</v>
      </c>
      <c r="G300" s="139">
        <v>1305</v>
      </c>
      <c r="H300" s="139">
        <v>4564</v>
      </c>
      <c r="I300" s="139">
        <v>5220</v>
      </c>
      <c r="J300" s="139">
        <v>7757</v>
      </c>
      <c r="K300" s="139">
        <v>3454</v>
      </c>
      <c r="L300" s="139">
        <v>9248</v>
      </c>
      <c r="M300" s="139">
        <v>9301</v>
      </c>
      <c r="N300" s="139">
        <v>7834000</v>
      </c>
      <c r="O300" s="139">
        <v>3932000</v>
      </c>
      <c r="P300" s="139">
        <f t="shared" si="13"/>
        <v>5879</v>
      </c>
      <c r="Q300" s="139">
        <f t="shared" si="14"/>
        <v>5402.75</v>
      </c>
      <c r="R300" s="139">
        <v>19035</v>
      </c>
      <c r="S300" s="139">
        <f t="shared" si="12"/>
        <v>2728857.6000000001</v>
      </c>
      <c r="U300" s="139" t="s">
        <v>482</v>
      </c>
    </row>
    <row r="301" spans="1:21" x14ac:dyDescent="0.2">
      <c r="A301" s="139" t="s">
        <v>690</v>
      </c>
      <c r="C301" s="139" t="s">
        <v>483</v>
      </c>
      <c r="D301" s="139">
        <v>7899</v>
      </c>
      <c r="E301" s="139">
        <v>7496</v>
      </c>
      <c r="F301" s="139">
        <v>4022</v>
      </c>
      <c r="G301" s="139">
        <v>4036</v>
      </c>
      <c r="H301" s="139">
        <v>4284</v>
      </c>
      <c r="I301" s="139">
        <v>4290</v>
      </c>
      <c r="J301" s="139">
        <v>5765</v>
      </c>
      <c r="K301" s="139">
        <v>4221</v>
      </c>
      <c r="L301" s="139">
        <v>2895</v>
      </c>
      <c r="M301" s="139">
        <v>2714</v>
      </c>
      <c r="N301" s="139">
        <v>5763000</v>
      </c>
      <c r="O301" s="139">
        <v>5871000</v>
      </c>
      <c r="P301" s="139">
        <f t="shared" si="13"/>
        <v>5492</v>
      </c>
      <c r="Q301" s="139">
        <f t="shared" si="14"/>
        <v>5423.25</v>
      </c>
      <c r="R301" s="139">
        <v>16628</v>
      </c>
      <c r="S301" s="139">
        <f t="shared" si="12"/>
        <v>2383790.0800000001</v>
      </c>
      <c r="U301" s="139" t="s">
        <v>483</v>
      </c>
    </row>
    <row r="302" spans="1:21" x14ac:dyDescent="0.2">
      <c r="A302" s="139" t="s">
        <v>698</v>
      </c>
      <c r="C302" s="139" t="s">
        <v>191</v>
      </c>
      <c r="D302" s="139">
        <v>2557</v>
      </c>
      <c r="E302" s="139">
        <v>5458</v>
      </c>
      <c r="F302" s="139">
        <v>3699</v>
      </c>
      <c r="G302" s="139">
        <v>4937</v>
      </c>
      <c r="H302" s="139">
        <v>2278</v>
      </c>
      <c r="I302" s="139">
        <v>2545</v>
      </c>
      <c r="J302" s="139">
        <v>521</v>
      </c>
      <c r="K302" s="139">
        <v>2301</v>
      </c>
      <c r="L302" s="139">
        <v>2624</v>
      </c>
      <c r="M302" s="139">
        <v>3681</v>
      </c>
      <c r="N302" s="139">
        <v>2015000</v>
      </c>
      <c r="O302" s="139">
        <v>3339000</v>
      </c>
      <c r="P302" s="139">
        <f t="shared" si="13"/>
        <v>2637.25</v>
      </c>
      <c r="Q302" s="139">
        <f t="shared" si="14"/>
        <v>4069.75</v>
      </c>
      <c r="R302" s="139">
        <v>32255</v>
      </c>
      <c r="S302" s="139">
        <f t="shared" si="12"/>
        <v>4624076.8000000007</v>
      </c>
      <c r="U302" s="139" t="s">
        <v>191</v>
      </c>
    </row>
    <row r="303" spans="1:21" x14ac:dyDescent="0.2">
      <c r="A303" s="139" t="s">
        <v>695</v>
      </c>
      <c r="C303" s="139" t="s">
        <v>234</v>
      </c>
      <c r="D303" s="139">
        <v>4120</v>
      </c>
      <c r="E303" s="139">
        <v>3819</v>
      </c>
      <c r="F303" s="139">
        <v>4939</v>
      </c>
      <c r="G303" s="139">
        <v>4777</v>
      </c>
      <c r="H303" s="139">
        <v>7013</v>
      </c>
      <c r="I303" s="139">
        <v>6963</v>
      </c>
      <c r="J303" s="139">
        <v>5850</v>
      </c>
      <c r="K303" s="139">
        <v>6000</v>
      </c>
      <c r="L303" s="139">
        <v>7496</v>
      </c>
      <c r="M303" s="139">
        <v>3841</v>
      </c>
      <c r="N303" s="139">
        <v>7741000</v>
      </c>
      <c r="O303" s="139">
        <v>3933000</v>
      </c>
      <c r="P303" s="139">
        <f t="shared" si="13"/>
        <v>5953.25</v>
      </c>
      <c r="Q303" s="139">
        <f t="shared" si="14"/>
        <v>4873</v>
      </c>
      <c r="R303" s="139">
        <v>16694</v>
      </c>
      <c r="S303" s="139">
        <f t="shared" si="12"/>
        <v>2393251.8400000003</v>
      </c>
      <c r="U303" s="139" t="s">
        <v>234</v>
      </c>
    </row>
    <row r="304" spans="1:21" x14ac:dyDescent="0.2">
      <c r="A304" s="139" t="s">
        <v>691</v>
      </c>
      <c r="C304" s="139" t="s">
        <v>353</v>
      </c>
      <c r="D304" s="139">
        <v>3758</v>
      </c>
      <c r="E304" s="139">
        <v>6886</v>
      </c>
      <c r="F304" s="139">
        <v>3888</v>
      </c>
      <c r="G304" s="139">
        <v>2121</v>
      </c>
      <c r="H304" s="139">
        <v>2767</v>
      </c>
      <c r="I304" s="139">
        <v>5260</v>
      </c>
      <c r="J304" s="139">
        <v>5244</v>
      </c>
      <c r="K304" s="139">
        <v>4278</v>
      </c>
      <c r="L304" s="139">
        <v>1891</v>
      </c>
      <c r="M304" s="139">
        <v>2351</v>
      </c>
      <c r="N304" s="139">
        <v>919000</v>
      </c>
      <c r="O304" s="139">
        <v>106000</v>
      </c>
      <c r="P304" s="139">
        <f t="shared" si="13"/>
        <v>2833</v>
      </c>
      <c r="Q304" s="139">
        <f t="shared" si="14"/>
        <v>3593.25</v>
      </c>
      <c r="R304" s="139">
        <v>21553</v>
      </c>
      <c r="S304" s="139">
        <f t="shared" si="12"/>
        <v>3089838.0800000001</v>
      </c>
      <c r="U304" s="139" t="s">
        <v>353</v>
      </c>
    </row>
    <row r="305" spans="1:21" x14ac:dyDescent="0.2">
      <c r="A305" s="139" t="s">
        <v>690</v>
      </c>
      <c r="C305" s="139" t="s">
        <v>484</v>
      </c>
      <c r="D305" s="139">
        <v>3083</v>
      </c>
      <c r="E305" s="139">
        <v>3468</v>
      </c>
      <c r="F305" s="139">
        <v>1413</v>
      </c>
      <c r="G305" s="139">
        <v>3451</v>
      </c>
      <c r="H305" s="139">
        <v>4163</v>
      </c>
      <c r="I305" s="139">
        <v>6113</v>
      </c>
      <c r="J305" s="139">
        <v>2653</v>
      </c>
      <c r="K305" s="139">
        <v>2784</v>
      </c>
      <c r="L305" s="139">
        <v>3553</v>
      </c>
      <c r="M305" s="139">
        <v>2403</v>
      </c>
      <c r="N305" s="139">
        <v>1875000</v>
      </c>
      <c r="O305" s="139">
        <v>1980000</v>
      </c>
      <c r="P305" s="139">
        <f t="shared" si="13"/>
        <v>2633.5</v>
      </c>
      <c r="Q305" s="139">
        <f t="shared" si="14"/>
        <v>3753</v>
      </c>
      <c r="R305" s="139">
        <v>23971</v>
      </c>
      <c r="S305" s="139">
        <f t="shared" si="12"/>
        <v>3436482.5600000005</v>
      </c>
      <c r="U305" s="139" t="s">
        <v>484</v>
      </c>
    </row>
    <row r="306" spans="1:21" x14ac:dyDescent="0.2">
      <c r="A306" s="139" t="s">
        <v>695</v>
      </c>
      <c r="C306" s="139" t="s">
        <v>235</v>
      </c>
      <c r="D306" s="139">
        <v>11891</v>
      </c>
      <c r="E306" s="139">
        <v>14249</v>
      </c>
      <c r="F306" s="139">
        <v>6621</v>
      </c>
      <c r="G306" s="139">
        <v>7309</v>
      </c>
      <c r="H306" s="139">
        <v>5813</v>
      </c>
      <c r="I306" s="139">
        <v>7449</v>
      </c>
      <c r="J306" s="139">
        <v>6111</v>
      </c>
      <c r="K306" s="139">
        <v>8579</v>
      </c>
      <c r="L306" s="139">
        <v>5289</v>
      </c>
      <c r="M306" s="139">
        <v>4968</v>
      </c>
      <c r="N306" s="139">
        <v>9163000</v>
      </c>
      <c r="O306" s="139">
        <v>9282000</v>
      </c>
      <c r="P306" s="139">
        <f t="shared" si="13"/>
        <v>8372</v>
      </c>
      <c r="Q306" s="139">
        <f t="shared" si="14"/>
        <v>9572.25</v>
      </c>
      <c r="R306" s="139">
        <v>43446</v>
      </c>
      <c r="S306" s="139">
        <f t="shared" si="12"/>
        <v>6228418.5600000005</v>
      </c>
      <c r="U306" s="139" t="s">
        <v>235</v>
      </c>
    </row>
    <row r="307" spans="1:21" x14ac:dyDescent="0.2">
      <c r="A307" s="139" t="s">
        <v>699</v>
      </c>
      <c r="C307" s="139" t="s">
        <v>522</v>
      </c>
      <c r="D307" s="139">
        <v>5639</v>
      </c>
      <c r="E307" s="139">
        <v>5690</v>
      </c>
      <c r="F307" s="139">
        <v>6189</v>
      </c>
      <c r="G307" s="139">
        <v>6836</v>
      </c>
      <c r="H307" s="139">
        <v>4401</v>
      </c>
      <c r="I307" s="139">
        <v>3930</v>
      </c>
      <c r="J307" s="139">
        <v>3530</v>
      </c>
      <c r="K307" s="139">
        <v>4333</v>
      </c>
      <c r="L307" s="139">
        <v>2839</v>
      </c>
      <c r="M307" s="139">
        <v>3104</v>
      </c>
      <c r="N307" s="139">
        <v>4667000</v>
      </c>
      <c r="O307" s="139">
        <v>4894000</v>
      </c>
      <c r="P307" s="139">
        <f t="shared" si="13"/>
        <v>5224</v>
      </c>
      <c r="Q307" s="139">
        <f t="shared" si="14"/>
        <v>5337.5</v>
      </c>
      <c r="R307" s="139">
        <v>25065</v>
      </c>
      <c r="S307" s="139">
        <f t="shared" si="12"/>
        <v>3593318.4000000004</v>
      </c>
      <c r="U307" s="139" t="s">
        <v>522</v>
      </c>
    </row>
    <row r="308" spans="1:21" x14ac:dyDescent="0.2">
      <c r="A308" s="139" t="s">
        <v>697</v>
      </c>
      <c r="C308" s="139" t="s">
        <v>310</v>
      </c>
      <c r="D308" s="139">
        <v>7403</v>
      </c>
      <c r="E308" s="139">
        <v>7379</v>
      </c>
      <c r="F308" s="139">
        <v>1926</v>
      </c>
      <c r="G308" s="139">
        <v>2943</v>
      </c>
      <c r="H308" s="139">
        <v>49</v>
      </c>
      <c r="I308" s="139">
        <v>431</v>
      </c>
      <c r="J308" s="139">
        <v>383</v>
      </c>
      <c r="K308" s="139">
        <v>394</v>
      </c>
      <c r="L308" s="139">
        <v>1040</v>
      </c>
      <c r="M308" s="139">
        <v>1172</v>
      </c>
      <c r="N308" s="139">
        <v>1294000</v>
      </c>
      <c r="O308" s="139">
        <v>1324000</v>
      </c>
      <c r="P308" s="139">
        <f t="shared" si="13"/>
        <v>2668</v>
      </c>
      <c r="Q308" s="139">
        <f t="shared" si="14"/>
        <v>3019.25</v>
      </c>
      <c r="R308" s="139">
        <v>64437</v>
      </c>
      <c r="S308" s="139">
        <f t="shared" si="12"/>
        <v>9237688.3200000003</v>
      </c>
      <c r="U308" s="139" t="s">
        <v>310</v>
      </c>
    </row>
    <row r="309" spans="1:21" x14ac:dyDescent="0.2">
      <c r="A309" s="139" t="s">
        <v>694</v>
      </c>
      <c r="C309" s="139" t="s">
        <v>408</v>
      </c>
      <c r="D309" s="139">
        <v>5627</v>
      </c>
      <c r="E309" s="139">
        <v>5248</v>
      </c>
      <c r="F309" s="139">
        <v>2126</v>
      </c>
      <c r="G309" s="139">
        <v>2082</v>
      </c>
      <c r="H309" s="139">
        <v>433</v>
      </c>
      <c r="I309" s="139">
        <v>443</v>
      </c>
      <c r="J309" s="139">
        <v>410</v>
      </c>
      <c r="K309" s="139">
        <v>703</v>
      </c>
      <c r="L309" s="139">
        <v>1461</v>
      </c>
      <c r="M309" s="139">
        <v>1786</v>
      </c>
      <c r="N309" s="139">
        <v>1069000</v>
      </c>
      <c r="O309" s="139">
        <v>1016000</v>
      </c>
      <c r="P309" s="139">
        <f t="shared" si="13"/>
        <v>2313.75</v>
      </c>
      <c r="Q309" s="139">
        <f t="shared" si="14"/>
        <v>2197.25</v>
      </c>
      <c r="R309" s="139">
        <v>8783</v>
      </c>
      <c r="S309" s="139">
        <f t="shared" si="12"/>
        <v>1259130.8800000001</v>
      </c>
      <c r="U309" s="139" t="s">
        <v>408</v>
      </c>
    </row>
    <row r="310" spans="1:21" x14ac:dyDescent="0.2">
      <c r="A310" s="139" t="s">
        <v>693</v>
      </c>
      <c r="C310" s="139" t="s">
        <v>543</v>
      </c>
      <c r="D310" s="139">
        <v>18480.609323070035</v>
      </c>
      <c r="E310" s="139">
        <v>20621.586144547193</v>
      </c>
      <c r="F310" s="139">
        <v>14803.306859205775</v>
      </c>
      <c r="G310" s="139">
        <v>27058.609386281587</v>
      </c>
      <c r="H310" s="139">
        <v>11349.095925734915</v>
      </c>
      <c r="I310" s="139">
        <v>13208.099948427025</v>
      </c>
      <c r="J310" s="139">
        <v>7067.0441464672513</v>
      </c>
      <c r="K310" s="139">
        <v>14595.589272821042</v>
      </c>
      <c r="L310" s="139">
        <v>4061</v>
      </c>
      <c r="M310" s="139">
        <v>10106</v>
      </c>
      <c r="N310" s="139">
        <v>7498000</v>
      </c>
      <c r="O310" s="139">
        <v>14170000</v>
      </c>
      <c r="P310" s="139">
        <f t="shared" si="13"/>
        <v>13032.753027002682</v>
      </c>
      <c r="Q310" s="139">
        <f t="shared" si="14"/>
        <v>18764.57386981395</v>
      </c>
      <c r="R310" s="139">
        <v>84167</v>
      </c>
      <c r="S310" s="139">
        <f t="shared" si="12"/>
        <v>12066181.120000001</v>
      </c>
      <c r="U310" s="139" t="s">
        <v>543</v>
      </c>
    </row>
    <row r="311" spans="1:21" x14ac:dyDescent="0.2">
      <c r="A311" s="139" t="s">
        <v>698</v>
      </c>
      <c r="C311" s="139" t="s">
        <v>192</v>
      </c>
      <c r="D311" s="139">
        <v>1216</v>
      </c>
      <c r="E311" s="139">
        <v>2150</v>
      </c>
      <c r="F311" s="139">
        <v>1438</v>
      </c>
      <c r="G311" s="139">
        <v>1483</v>
      </c>
      <c r="H311" s="139">
        <v>2893</v>
      </c>
      <c r="I311" s="139">
        <v>16529</v>
      </c>
      <c r="J311" s="139">
        <v>609</v>
      </c>
      <c r="K311" s="139">
        <v>781</v>
      </c>
      <c r="L311" s="139">
        <v>123</v>
      </c>
      <c r="M311" s="139">
        <v>223</v>
      </c>
      <c r="N311" s="139">
        <v>162000</v>
      </c>
      <c r="O311" s="139">
        <v>2750000</v>
      </c>
      <c r="P311" s="139">
        <f t="shared" si="13"/>
        <v>1427.25</v>
      </c>
      <c r="Q311" s="139">
        <f t="shared" si="14"/>
        <v>5728</v>
      </c>
      <c r="R311" s="139">
        <v>7283</v>
      </c>
      <c r="S311" s="139">
        <f t="shared" si="12"/>
        <v>1044090.8800000001</v>
      </c>
      <c r="U311" s="139" t="s">
        <v>192</v>
      </c>
    </row>
    <row r="312" spans="1:21" x14ac:dyDescent="0.2">
      <c r="A312" s="139" t="s">
        <v>701</v>
      </c>
      <c r="C312" s="139" t="s">
        <v>430</v>
      </c>
      <c r="D312" s="139">
        <v>5511</v>
      </c>
      <c r="E312" s="139">
        <v>5626</v>
      </c>
      <c r="F312" s="139">
        <v>19873</v>
      </c>
      <c r="G312" s="139">
        <v>21089</v>
      </c>
      <c r="H312" s="139">
        <v>2151</v>
      </c>
      <c r="I312" s="139">
        <v>5883</v>
      </c>
      <c r="J312" s="139">
        <v>7885</v>
      </c>
      <c r="K312" s="139">
        <v>7742</v>
      </c>
      <c r="L312" s="139">
        <v>2852</v>
      </c>
      <c r="M312" s="139">
        <v>2557</v>
      </c>
      <c r="N312" s="139">
        <v>2911000</v>
      </c>
      <c r="O312" s="139">
        <v>2205000</v>
      </c>
      <c r="P312" s="139">
        <f t="shared" si="13"/>
        <v>7611.5</v>
      </c>
      <c r="Q312" s="139">
        <f t="shared" si="14"/>
        <v>8700.75</v>
      </c>
      <c r="R312" s="139">
        <v>54592</v>
      </c>
      <c r="S312" s="139">
        <f t="shared" si="12"/>
        <v>7826309.120000001</v>
      </c>
      <c r="U312" s="139" t="s">
        <v>430</v>
      </c>
    </row>
    <row r="313" spans="1:21" x14ac:dyDescent="0.2">
      <c r="A313" s="139" t="s">
        <v>693</v>
      </c>
      <c r="C313" s="139" t="s">
        <v>213</v>
      </c>
      <c r="D313" s="139">
        <v>0</v>
      </c>
      <c r="E313" s="139">
        <v>23</v>
      </c>
      <c r="F313" s="139">
        <v>97</v>
      </c>
      <c r="G313" s="139">
        <v>20</v>
      </c>
      <c r="H313" s="139">
        <v>0</v>
      </c>
      <c r="I313" s="139">
        <v>25</v>
      </c>
      <c r="J313" s="139">
        <v>0</v>
      </c>
      <c r="K313" s="139">
        <v>0</v>
      </c>
      <c r="L313" s="139">
        <v>1071</v>
      </c>
      <c r="M313" s="139">
        <v>1072</v>
      </c>
      <c r="N313" s="139">
        <v>978000</v>
      </c>
      <c r="O313" s="139">
        <v>978000</v>
      </c>
      <c r="P313" s="139">
        <f t="shared" si="13"/>
        <v>268.75</v>
      </c>
      <c r="Q313" s="139">
        <f t="shared" si="14"/>
        <v>261.5</v>
      </c>
      <c r="R313" s="139">
        <v>4858</v>
      </c>
      <c r="S313" s="139">
        <f t="shared" si="12"/>
        <v>696442.88000000012</v>
      </c>
      <c r="U313" s="139" t="s">
        <v>213</v>
      </c>
    </row>
    <row r="314" spans="1:21" x14ac:dyDescent="0.2">
      <c r="A314" s="139" t="s">
        <v>691</v>
      </c>
      <c r="C314" s="139" t="s">
        <v>354</v>
      </c>
      <c r="D314" s="139">
        <v>2408</v>
      </c>
      <c r="E314" s="139">
        <v>3061</v>
      </c>
      <c r="F314" s="139">
        <v>1906</v>
      </c>
      <c r="G314" s="139">
        <v>2465</v>
      </c>
      <c r="H314" s="139">
        <v>471</v>
      </c>
      <c r="I314" s="139">
        <v>1003</v>
      </c>
      <c r="J314" s="139">
        <v>1486</v>
      </c>
      <c r="K314" s="139">
        <v>946</v>
      </c>
      <c r="L314" s="139">
        <v>1757</v>
      </c>
      <c r="M314" s="139">
        <v>760</v>
      </c>
      <c r="N314" s="139">
        <v>354000</v>
      </c>
      <c r="O314" s="139">
        <v>1135000</v>
      </c>
      <c r="P314" s="139">
        <f t="shared" si="13"/>
        <v>1284.75</v>
      </c>
      <c r="Q314" s="139">
        <f t="shared" si="14"/>
        <v>1916</v>
      </c>
      <c r="R314" s="139">
        <v>13544</v>
      </c>
      <c r="S314" s="139">
        <f t="shared" si="12"/>
        <v>1941667.8400000001</v>
      </c>
      <c r="U314" s="139" t="s">
        <v>354</v>
      </c>
    </row>
    <row r="315" spans="1:21" x14ac:dyDescent="0.2">
      <c r="A315" s="139" t="s">
        <v>694</v>
      </c>
      <c r="C315" s="139" t="s">
        <v>409</v>
      </c>
      <c r="D315" s="139">
        <v>5890</v>
      </c>
      <c r="E315" s="139">
        <v>5923</v>
      </c>
      <c r="F315" s="139">
        <v>2116</v>
      </c>
      <c r="G315" s="139">
        <v>2194</v>
      </c>
      <c r="H315" s="139">
        <v>4551</v>
      </c>
      <c r="I315" s="139">
        <v>5605</v>
      </c>
      <c r="J315" s="139">
        <v>4920</v>
      </c>
      <c r="K315" s="139">
        <v>6308</v>
      </c>
      <c r="L315" s="139">
        <v>3878</v>
      </c>
      <c r="M315" s="139">
        <v>3950</v>
      </c>
      <c r="N315" s="139">
        <v>6793000</v>
      </c>
      <c r="O315" s="139">
        <v>6359000</v>
      </c>
      <c r="P315" s="139">
        <f t="shared" si="13"/>
        <v>4837.5</v>
      </c>
      <c r="Q315" s="139">
        <f t="shared" si="14"/>
        <v>5020.25</v>
      </c>
      <c r="R315" s="139">
        <v>36092</v>
      </c>
      <c r="S315" s="139">
        <f t="shared" si="12"/>
        <v>5174149.1200000001</v>
      </c>
      <c r="U315" s="139" t="s">
        <v>409</v>
      </c>
    </row>
    <row r="316" spans="1:21" x14ac:dyDescent="0.2">
      <c r="A316" s="139" t="s">
        <v>701</v>
      </c>
      <c r="C316" s="139" t="s">
        <v>431</v>
      </c>
      <c r="D316" s="139">
        <v>15571</v>
      </c>
      <c r="E316" s="139">
        <v>14645</v>
      </c>
      <c r="F316" s="139">
        <v>10008</v>
      </c>
      <c r="G316" s="139">
        <v>12539</v>
      </c>
      <c r="H316" s="139">
        <v>5518</v>
      </c>
      <c r="I316" s="139">
        <v>8265</v>
      </c>
      <c r="J316" s="139">
        <v>7924</v>
      </c>
      <c r="K316" s="139">
        <v>9009</v>
      </c>
      <c r="L316" s="139">
        <v>12709</v>
      </c>
      <c r="M316" s="139">
        <v>12940</v>
      </c>
      <c r="N316" s="139">
        <v>16868000</v>
      </c>
      <c r="O316" s="139">
        <v>20530000</v>
      </c>
      <c r="P316" s="139">
        <f t="shared" si="13"/>
        <v>11991.25</v>
      </c>
      <c r="Q316" s="139">
        <f t="shared" si="14"/>
        <v>13994.75</v>
      </c>
      <c r="R316" s="139">
        <v>25526</v>
      </c>
      <c r="S316" s="139">
        <f t="shared" si="12"/>
        <v>3659407.3600000003</v>
      </c>
      <c r="U316" s="139" t="s">
        <v>431</v>
      </c>
    </row>
    <row r="317" spans="1:21" x14ac:dyDescent="0.2">
      <c r="A317" s="139" t="s">
        <v>692</v>
      </c>
      <c r="C317" s="139" t="s">
        <v>284</v>
      </c>
      <c r="D317" s="139">
        <v>7261</v>
      </c>
      <c r="E317" s="139">
        <v>6345</v>
      </c>
      <c r="F317" s="139">
        <v>4382</v>
      </c>
      <c r="G317" s="139">
        <v>5158</v>
      </c>
      <c r="H317" s="139">
        <v>2817</v>
      </c>
      <c r="I317" s="139">
        <v>4389</v>
      </c>
      <c r="J317" s="139">
        <v>10580</v>
      </c>
      <c r="K317" s="139">
        <v>12134</v>
      </c>
      <c r="L317" s="139">
        <v>6586</v>
      </c>
      <c r="M317" s="139">
        <v>6907</v>
      </c>
      <c r="N317" s="139">
        <v>9641000</v>
      </c>
      <c r="O317" s="139">
        <v>11590000</v>
      </c>
      <c r="P317" s="139">
        <f t="shared" si="13"/>
        <v>6025.25</v>
      </c>
      <c r="Q317" s="139">
        <f t="shared" si="14"/>
        <v>6870.5</v>
      </c>
      <c r="R317" s="139">
        <v>41491</v>
      </c>
      <c r="S317" s="139">
        <f t="shared" si="12"/>
        <v>5948149.7600000007</v>
      </c>
      <c r="U317" s="139" t="s">
        <v>284</v>
      </c>
    </row>
    <row r="318" spans="1:21" x14ac:dyDescent="0.2">
      <c r="A318" s="139" t="s">
        <v>690</v>
      </c>
      <c r="C318" s="139" t="s">
        <v>485</v>
      </c>
      <c r="D318" s="139">
        <v>64950</v>
      </c>
      <c r="E318" s="139">
        <v>97594</v>
      </c>
      <c r="F318" s="139">
        <v>82292</v>
      </c>
      <c r="G318" s="139">
        <v>81184</v>
      </c>
      <c r="H318" s="139">
        <v>-41120</v>
      </c>
      <c r="I318" s="139">
        <v>98655</v>
      </c>
      <c r="J318" s="139">
        <v>96403</v>
      </c>
      <c r="K318" s="139">
        <v>59947</v>
      </c>
      <c r="L318" s="139">
        <v>62102</v>
      </c>
      <c r="M318" s="139">
        <v>66087</v>
      </c>
      <c r="N318" s="139">
        <v>62351000</v>
      </c>
      <c r="O318" s="139">
        <v>42806000</v>
      </c>
      <c r="P318" s="139">
        <f t="shared" si="13"/>
        <v>42118.25</v>
      </c>
      <c r="Q318" s="139">
        <f t="shared" si="14"/>
        <v>80059.75</v>
      </c>
      <c r="R318" s="139">
        <v>213840</v>
      </c>
      <c r="S318" s="139">
        <f t="shared" si="12"/>
        <v>30656102.400000002</v>
      </c>
      <c r="U318" s="139" t="s">
        <v>485</v>
      </c>
    </row>
    <row r="319" spans="1:21" x14ac:dyDescent="0.2">
      <c r="A319" s="139" t="s">
        <v>695</v>
      </c>
      <c r="C319" s="139" t="s">
        <v>236</v>
      </c>
      <c r="D319" s="139">
        <v>1853</v>
      </c>
      <c r="E319" s="139">
        <v>2187</v>
      </c>
      <c r="F319" s="139">
        <v>3586</v>
      </c>
      <c r="G319" s="139">
        <v>3390</v>
      </c>
      <c r="H319" s="139">
        <v>3274</v>
      </c>
      <c r="I319" s="139">
        <v>4952</v>
      </c>
      <c r="J319" s="139">
        <v>2249</v>
      </c>
      <c r="K319" s="139">
        <v>2551</v>
      </c>
      <c r="L319" s="139">
        <v>5161</v>
      </c>
      <c r="M319" s="139">
        <v>5402</v>
      </c>
      <c r="N319" s="139">
        <v>3606000</v>
      </c>
      <c r="O319" s="139">
        <v>3438000</v>
      </c>
      <c r="P319" s="139">
        <f t="shared" si="13"/>
        <v>3079.75</v>
      </c>
      <c r="Q319" s="139">
        <f t="shared" si="14"/>
        <v>3491.75</v>
      </c>
      <c r="R319" s="139">
        <v>21152</v>
      </c>
      <c r="S319" s="139">
        <f t="shared" si="12"/>
        <v>3032350.7200000002</v>
      </c>
      <c r="U319" s="139" t="s">
        <v>236</v>
      </c>
    </row>
    <row r="320" spans="1:21" x14ac:dyDescent="0.2">
      <c r="A320" s="139" t="s">
        <v>695</v>
      </c>
      <c r="C320" s="139" t="s">
        <v>237</v>
      </c>
      <c r="D320" s="139">
        <v>6500</v>
      </c>
      <c r="E320" s="139">
        <v>7833</v>
      </c>
      <c r="F320" s="139">
        <v>7296</v>
      </c>
      <c r="G320" s="139">
        <v>7033</v>
      </c>
      <c r="H320" s="139">
        <v>7331</v>
      </c>
      <c r="I320" s="139">
        <v>10354</v>
      </c>
      <c r="J320" s="139">
        <v>4109</v>
      </c>
      <c r="K320" s="139">
        <v>5315</v>
      </c>
      <c r="L320" s="139">
        <v>6589</v>
      </c>
      <c r="M320" s="139">
        <v>6750</v>
      </c>
      <c r="N320" s="139">
        <v>8275000</v>
      </c>
      <c r="O320" s="139">
        <v>9173000</v>
      </c>
      <c r="P320" s="139">
        <f t="shared" si="13"/>
        <v>7350.5</v>
      </c>
      <c r="Q320" s="139">
        <f t="shared" si="14"/>
        <v>8598.25</v>
      </c>
      <c r="R320" s="139">
        <v>33843</v>
      </c>
      <c r="S320" s="139">
        <f t="shared" si="12"/>
        <v>4851732.4800000004</v>
      </c>
      <c r="U320" s="139" t="s">
        <v>237</v>
      </c>
    </row>
    <row r="321" spans="1:21" x14ac:dyDescent="0.2">
      <c r="A321" s="139" t="s">
        <v>689</v>
      </c>
      <c r="C321" s="139" t="s">
        <v>170</v>
      </c>
      <c r="D321" s="139">
        <v>16881</v>
      </c>
      <c r="E321" s="139">
        <v>20869</v>
      </c>
      <c r="F321" s="139">
        <v>16924</v>
      </c>
      <c r="G321" s="139">
        <v>20788</v>
      </c>
      <c r="H321" s="139">
        <v>16804</v>
      </c>
      <c r="I321" s="139">
        <v>19551</v>
      </c>
      <c r="J321" s="139">
        <v>8651</v>
      </c>
      <c r="K321" s="139">
        <v>14114</v>
      </c>
      <c r="L321" s="139">
        <v>17922</v>
      </c>
      <c r="M321" s="139">
        <v>17881</v>
      </c>
      <c r="N321" s="139">
        <v>16379000</v>
      </c>
      <c r="O321" s="139">
        <v>15897000</v>
      </c>
      <c r="P321" s="139">
        <f t="shared" si="13"/>
        <v>16747</v>
      </c>
      <c r="Q321" s="139">
        <f t="shared" si="14"/>
        <v>19276.25</v>
      </c>
      <c r="R321" s="139">
        <v>33280</v>
      </c>
      <c r="S321" s="139">
        <f t="shared" si="12"/>
        <v>4771020.8000000007</v>
      </c>
      <c r="U321" s="139" t="s">
        <v>170</v>
      </c>
    </row>
    <row r="322" spans="1:21" x14ac:dyDescent="0.2">
      <c r="A322" s="139" t="s">
        <v>693</v>
      </c>
      <c r="C322" s="139" t="s">
        <v>214</v>
      </c>
      <c r="D322" s="139">
        <v>7368</v>
      </c>
      <c r="E322" s="139">
        <v>7022</v>
      </c>
      <c r="F322" s="139">
        <v>330</v>
      </c>
      <c r="G322" s="139">
        <v>3249</v>
      </c>
      <c r="H322" s="139">
        <v>4640</v>
      </c>
      <c r="I322" s="139">
        <v>8548</v>
      </c>
      <c r="J322" s="139">
        <v>37</v>
      </c>
      <c r="K322" s="139">
        <v>1707</v>
      </c>
      <c r="L322" s="139">
        <v>140</v>
      </c>
      <c r="M322" s="139">
        <v>1974</v>
      </c>
      <c r="N322" s="139">
        <v>685000</v>
      </c>
      <c r="O322" s="139">
        <v>2142000</v>
      </c>
      <c r="P322" s="139">
        <f t="shared" ref="P322:P384" si="15">SUM(D322,F322,H322,N322/1000)/4</f>
        <v>3255.75</v>
      </c>
      <c r="Q322" s="139">
        <f t="shared" ref="Q322:Q384" si="16">SUM(E322,G322,I322,O322/1000)/4</f>
        <v>5240.25</v>
      </c>
      <c r="R322" s="139">
        <v>31980</v>
      </c>
      <c r="S322" s="139">
        <f t="shared" si="12"/>
        <v>4584652.8000000007</v>
      </c>
      <c r="U322" s="139" t="s">
        <v>214</v>
      </c>
    </row>
    <row r="323" spans="1:21" x14ac:dyDescent="0.2">
      <c r="A323" s="139" t="s">
        <v>690</v>
      </c>
      <c r="C323" s="139" t="s">
        <v>486</v>
      </c>
      <c r="D323" s="139">
        <v>27374</v>
      </c>
      <c r="E323" s="139">
        <v>37051</v>
      </c>
      <c r="F323" s="139">
        <v>15119</v>
      </c>
      <c r="G323" s="139">
        <v>23336</v>
      </c>
      <c r="H323" s="139">
        <v>18390</v>
      </c>
      <c r="I323" s="139">
        <v>19017</v>
      </c>
      <c r="J323" s="139">
        <v>11163</v>
      </c>
      <c r="K323" s="139">
        <v>11108</v>
      </c>
      <c r="L323" s="139">
        <v>13092</v>
      </c>
      <c r="M323" s="139">
        <v>13050</v>
      </c>
      <c r="N323" s="139">
        <v>14490000</v>
      </c>
      <c r="O323" s="139">
        <v>6695000</v>
      </c>
      <c r="P323" s="139">
        <f t="shared" si="15"/>
        <v>18843.25</v>
      </c>
      <c r="Q323" s="139">
        <f t="shared" si="16"/>
        <v>21524.75</v>
      </c>
      <c r="R323" s="139">
        <v>41387</v>
      </c>
      <c r="S323" s="139">
        <f t="shared" ref="S323:S386" si="17">R323*143.36</f>
        <v>5933240.3200000003</v>
      </c>
      <c r="U323" s="139" t="s">
        <v>486</v>
      </c>
    </row>
    <row r="324" spans="1:21" x14ac:dyDescent="0.2">
      <c r="A324" s="139" t="s">
        <v>691</v>
      </c>
      <c r="C324" s="139" t="s">
        <v>355</v>
      </c>
      <c r="D324" s="139">
        <v>1196</v>
      </c>
      <c r="E324" s="139">
        <v>1406</v>
      </c>
      <c r="F324" s="139">
        <v>4052</v>
      </c>
      <c r="G324" s="139">
        <v>4484</v>
      </c>
      <c r="H324" s="139">
        <v>979</v>
      </c>
      <c r="I324" s="139">
        <v>4231</v>
      </c>
      <c r="J324" s="139">
        <v>802</v>
      </c>
      <c r="K324" s="139">
        <v>880</v>
      </c>
      <c r="L324" s="139">
        <v>1013</v>
      </c>
      <c r="M324" s="139">
        <v>1025</v>
      </c>
      <c r="N324" s="139">
        <v>2140000</v>
      </c>
      <c r="O324" s="139">
        <v>762000</v>
      </c>
      <c r="P324" s="139">
        <f t="shared" si="15"/>
        <v>2091.75</v>
      </c>
      <c r="Q324" s="139">
        <f t="shared" si="16"/>
        <v>2720.75</v>
      </c>
      <c r="R324" s="139">
        <v>13470</v>
      </c>
      <c r="S324" s="139">
        <f t="shared" si="17"/>
        <v>1931059.2000000002</v>
      </c>
      <c r="U324" s="139" t="s">
        <v>355</v>
      </c>
    </row>
    <row r="325" spans="1:21" x14ac:dyDescent="0.2">
      <c r="A325" s="139" t="s">
        <v>691</v>
      </c>
      <c r="C325" s="139" t="s">
        <v>356</v>
      </c>
      <c r="D325" s="139">
        <v>6815</v>
      </c>
      <c r="E325" s="139">
        <v>6934</v>
      </c>
      <c r="F325" s="139">
        <v>8897</v>
      </c>
      <c r="G325" s="139">
        <v>8953</v>
      </c>
      <c r="H325" s="139">
        <v>5586</v>
      </c>
      <c r="I325" s="139">
        <v>13418</v>
      </c>
      <c r="J325" s="139">
        <v>8332</v>
      </c>
      <c r="K325" s="139">
        <v>11045</v>
      </c>
      <c r="L325" s="139">
        <v>9515</v>
      </c>
      <c r="M325" s="139">
        <v>10552</v>
      </c>
      <c r="N325" s="139">
        <v>8092000</v>
      </c>
      <c r="O325" s="139">
        <v>8911000</v>
      </c>
      <c r="P325" s="139">
        <f t="shared" si="15"/>
        <v>7347.5</v>
      </c>
      <c r="Q325" s="139">
        <f t="shared" si="16"/>
        <v>9554</v>
      </c>
      <c r="R325" s="139">
        <v>29201</v>
      </c>
      <c r="S325" s="139">
        <f t="shared" si="17"/>
        <v>4186255.3600000003</v>
      </c>
      <c r="U325" s="139" t="s">
        <v>356</v>
      </c>
    </row>
    <row r="326" spans="1:21" x14ac:dyDescent="0.2">
      <c r="A326" s="139" t="s">
        <v>696</v>
      </c>
      <c r="C326" s="139" t="s">
        <v>533</v>
      </c>
      <c r="D326" s="139">
        <v>3196</v>
      </c>
      <c r="E326" s="139">
        <v>3334</v>
      </c>
      <c r="F326" s="139">
        <v>3500</v>
      </c>
      <c r="G326" s="139">
        <v>3647</v>
      </c>
      <c r="H326" s="139">
        <v>6038</v>
      </c>
      <c r="I326" s="139">
        <v>5659</v>
      </c>
      <c r="J326" s="139">
        <v>3021</v>
      </c>
      <c r="K326" s="139">
        <v>3359</v>
      </c>
      <c r="L326" s="139">
        <v>8124</v>
      </c>
      <c r="M326" s="139">
        <v>5990</v>
      </c>
      <c r="N326" s="139">
        <v>3642000</v>
      </c>
      <c r="O326" s="139">
        <v>3701000</v>
      </c>
      <c r="P326" s="139">
        <f t="shared" si="15"/>
        <v>4094</v>
      </c>
      <c r="Q326" s="139">
        <f t="shared" si="16"/>
        <v>4085.25</v>
      </c>
      <c r="R326" s="139">
        <v>20220</v>
      </c>
      <c r="S326" s="139">
        <f t="shared" si="17"/>
        <v>2898739.2000000002</v>
      </c>
      <c r="U326" s="139" t="s">
        <v>533</v>
      </c>
    </row>
    <row r="327" spans="1:21" x14ac:dyDescent="0.2">
      <c r="A327" s="139" t="s">
        <v>697</v>
      </c>
      <c r="C327" s="139" t="s">
        <v>311</v>
      </c>
      <c r="D327" s="139">
        <v>310500</v>
      </c>
      <c r="E327" s="139">
        <v>268351</v>
      </c>
      <c r="F327" s="139">
        <v>354524</v>
      </c>
      <c r="G327" s="139">
        <v>404172</v>
      </c>
      <c r="H327" s="139">
        <v>279850</v>
      </c>
      <c r="I327" s="139">
        <v>206831</v>
      </c>
      <c r="J327" s="139">
        <v>189077</v>
      </c>
      <c r="K327" s="139">
        <v>163332</v>
      </c>
      <c r="L327" s="139">
        <v>244806</v>
      </c>
      <c r="M327" s="139">
        <v>222717</v>
      </c>
      <c r="N327" s="139">
        <v>874455000</v>
      </c>
      <c r="O327" s="139">
        <v>842813000</v>
      </c>
      <c r="P327" s="139">
        <f t="shared" si="15"/>
        <v>454832.25</v>
      </c>
      <c r="Q327" s="139">
        <f t="shared" si="16"/>
        <v>430541.75</v>
      </c>
      <c r="R327" s="139">
        <v>343086</v>
      </c>
      <c r="S327" s="139">
        <f t="shared" si="17"/>
        <v>49184808.960000008</v>
      </c>
      <c r="U327" s="139" t="s">
        <v>311</v>
      </c>
    </row>
    <row r="328" spans="1:21" x14ac:dyDescent="0.2">
      <c r="A328" s="139" t="s">
        <v>697</v>
      </c>
      <c r="C328" s="139" t="s">
        <v>312</v>
      </c>
      <c r="D328" s="139">
        <v>2273</v>
      </c>
      <c r="E328" s="139">
        <v>1188</v>
      </c>
      <c r="F328" s="139">
        <v>17532</v>
      </c>
      <c r="G328" s="139">
        <v>15547</v>
      </c>
      <c r="H328" s="139">
        <v>2028</v>
      </c>
      <c r="I328" s="139">
        <v>2314</v>
      </c>
      <c r="J328" s="139">
        <v>1656</v>
      </c>
      <c r="K328" s="139">
        <v>2459</v>
      </c>
      <c r="L328" s="139">
        <v>1033</v>
      </c>
      <c r="M328" s="139">
        <v>2658</v>
      </c>
      <c r="N328" s="139">
        <v>2458000</v>
      </c>
      <c r="O328" s="139">
        <v>4739000</v>
      </c>
      <c r="P328" s="139">
        <f t="shared" si="15"/>
        <v>6072.75</v>
      </c>
      <c r="Q328" s="139">
        <f t="shared" si="16"/>
        <v>5947</v>
      </c>
      <c r="R328" s="139">
        <v>49013</v>
      </c>
      <c r="S328" s="139">
        <f t="shared" si="17"/>
        <v>7026503.6800000006</v>
      </c>
      <c r="U328" s="139" t="s">
        <v>312</v>
      </c>
    </row>
    <row r="329" spans="1:21" x14ac:dyDescent="0.2">
      <c r="A329" s="139" t="s">
        <v>699</v>
      </c>
      <c r="C329" s="139" t="s">
        <v>523</v>
      </c>
      <c r="D329" s="139">
        <v>0</v>
      </c>
      <c r="E329" s="139">
        <v>0</v>
      </c>
      <c r="F329" s="139">
        <v>3122</v>
      </c>
      <c r="G329" s="139">
        <v>3122</v>
      </c>
      <c r="H329" s="139">
        <v>0</v>
      </c>
      <c r="I329" s="139">
        <v>0</v>
      </c>
      <c r="J329" s="139">
        <v>0</v>
      </c>
      <c r="K329" s="139">
        <v>0</v>
      </c>
      <c r="L329" s="139">
        <v>0</v>
      </c>
      <c r="M329" s="139">
        <v>0</v>
      </c>
      <c r="N329" s="139">
        <v>0</v>
      </c>
      <c r="O329" s="139">
        <v>0</v>
      </c>
      <c r="P329" s="139">
        <f t="shared" si="15"/>
        <v>780.5</v>
      </c>
      <c r="Q329" s="139">
        <f t="shared" si="16"/>
        <v>780.5</v>
      </c>
      <c r="R329" s="139">
        <v>9703</v>
      </c>
      <c r="S329" s="139">
        <f t="shared" si="17"/>
        <v>1391022.0800000001</v>
      </c>
      <c r="U329" s="139" t="s">
        <v>523</v>
      </c>
    </row>
    <row r="330" spans="1:21" x14ac:dyDescent="0.2">
      <c r="A330" s="139" t="s">
        <v>699</v>
      </c>
      <c r="C330" s="139" t="s">
        <v>524</v>
      </c>
      <c r="D330" s="139">
        <v>0</v>
      </c>
      <c r="E330" s="139">
        <v>305</v>
      </c>
      <c r="F330" s="139">
        <v>7108</v>
      </c>
      <c r="G330" s="139">
        <v>7110</v>
      </c>
      <c r="H330" s="139">
        <v>1708</v>
      </c>
      <c r="I330" s="139">
        <v>3576</v>
      </c>
      <c r="J330" s="139">
        <v>1405</v>
      </c>
      <c r="K330" s="139">
        <v>2290</v>
      </c>
      <c r="L330" s="139">
        <v>8179</v>
      </c>
      <c r="M330" s="139">
        <v>8443</v>
      </c>
      <c r="N330" s="139">
        <v>143000</v>
      </c>
      <c r="O330" s="139">
        <v>-29000</v>
      </c>
      <c r="P330" s="139">
        <f t="shared" si="15"/>
        <v>2239.75</v>
      </c>
      <c r="Q330" s="139">
        <f t="shared" si="16"/>
        <v>2740.5</v>
      </c>
      <c r="R330" s="139">
        <v>16440</v>
      </c>
      <c r="S330" s="139">
        <f t="shared" si="17"/>
        <v>2356838.4000000004</v>
      </c>
      <c r="U330" s="139" t="s">
        <v>524</v>
      </c>
    </row>
    <row r="331" spans="1:21" x14ac:dyDescent="0.2">
      <c r="A331" s="139" t="s">
        <v>690</v>
      </c>
      <c r="C331" s="139" t="s">
        <v>487</v>
      </c>
      <c r="D331" s="139">
        <v>9083</v>
      </c>
      <c r="E331" s="139">
        <v>7803</v>
      </c>
      <c r="F331" s="139">
        <v>5087</v>
      </c>
      <c r="G331" s="139">
        <v>5088</v>
      </c>
      <c r="H331" s="139">
        <v>5767</v>
      </c>
      <c r="I331" s="139">
        <v>9187</v>
      </c>
      <c r="J331" s="139">
        <v>4816</v>
      </c>
      <c r="K331" s="139">
        <v>7264</v>
      </c>
      <c r="L331" s="139">
        <v>4593</v>
      </c>
      <c r="M331" s="139">
        <v>4964</v>
      </c>
      <c r="N331" s="139">
        <v>3533000</v>
      </c>
      <c r="O331" s="139">
        <v>3966000</v>
      </c>
      <c r="P331" s="139">
        <f t="shared" si="15"/>
        <v>5867.5</v>
      </c>
      <c r="Q331" s="139">
        <f t="shared" si="16"/>
        <v>6511</v>
      </c>
      <c r="R331" s="139">
        <v>30515</v>
      </c>
      <c r="S331" s="139">
        <f t="shared" si="17"/>
        <v>4374630.4000000004</v>
      </c>
      <c r="U331" s="139" t="s">
        <v>487</v>
      </c>
    </row>
    <row r="332" spans="1:21" x14ac:dyDescent="0.2">
      <c r="A332" s="139" t="s">
        <v>698</v>
      </c>
      <c r="C332" s="139" t="s">
        <v>193</v>
      </c>
      <c r="D332" s="139">
        <v>11076</v>
      </c>
      <c r="E332" s="139">
        <v>12047</v>
      </c>
      <c r="F332" s="139">
        <v>7522</v>
      </c>
      <c r="G332" s="139">
        <v>11948</v>
      </c>
      <c r="H332" s="139">
        <v>53087</v>
      </c>
      <c r="I332" s="139">
        <v>24950</v>
      </c>
      <c r="J332" s="139">
        <v>1380</v>
      </c>
      <c r="K332" s="139">
        <v>6960</v>
      </c>
      <c r="L332" s="139">
        <v>2516</v>
      </c>
      <c r="M332" s="139">
        <v>3237</v>
      </c>
      <c r="N332" s="139">
        <v>4658000</v>
      </c>
      <c r="O332" s="139">
        <v>4426000</v>
      </c>
      <c r="P332" s="139">
        <f t="shared" si="15"/>
        <v>19085.75</v>
      </c>
      <c r="Q332" s="139">
        <f t="shared" si="16"/>
        <v>13342.75</v>
      </c>
      <c r="R332" s="139">
        <v>27526</v>
      </c>
      <c r="S332" s="139">
        <f t="shared" si="17"/>
        <v>3946127.3600000003</v>
      </c>
      <c r="U332" s="139" t="s">
        <v>193</v>
      </c>
    </row>
    <row r="333" spans="1:21" x14ac:dyDescent="0.2">
      <c r="A333" s="139" t="s">
        <v>697</v>
      </c>
      <c r="C333" s="139" t="s">
        <v>313</v>
      </c>
      <c r="D333" s="139">
        <v>40284</v>
      </c>
      <c r="E333" s="139">
        <v>39577</v>
      </c>
      <c r="F333" s="139">
        <v>45177</v>
      </c>
      <c r="G333" s="139">
        <v>47639</v>
      </c>
      <c r="H333" s="139">
        <v>22887</v>
      </c>
      <c r="I333" s="139">
        <v>27095</v>
      </c>
      <c r="J333" s="139">
        <v>20881</v>
      </c>
      <c r="K333" s="139">
        <v>20637</v>
      </c>
      <c r="L333" s="139">
        <v>8859</v>
      </c>
      <c r="M333" s="139">
        <v>9341</v>
      </c>
      <c r="N333" s="139">
        <v>6968000</v>
      </c>
      <c r="O333" s="139">
        <v>7706000</v>
      </c>
      <c r="P333" s="139">
        <f t="shared" si="15"/>
        <v>28829</v>
      </c>
      <c r="Q333" s="139">
        <f t="shared" si="16"/>
        <v>30504.25</v>
      </c>
      <c r="R333" s="139">
        <v>64284</v>
      </c>
      <c r="S333" s="139">
        <f t="shared" si="17"/>
        <v>9215754.2400000002</v>
      </c>
      <c r="U333" s="139" t="s">
        <v>313</v>
      </c>
    </row>
    <row r="334" spans="1:21" x14ac:dyDescent="0.2">
      <c r="A334" s="139" t="s">
        <v>701</v>
      </c>
      <c r="C334" s="139" t="s">
        <v>432</v>
      </c>
      <c r="D334" s="139">
        <v>3674</v>
      </c>
      <c r="E334" s="139">
        <v>3699</v>
      </c>
      <c r="F334" s="139">
        <v>7452</v>
      </c>
      <c r="G334" s="139">
        <v>6148</v>
      </c>
      <c r="H334" s="139">
        <v>4202</v>
      </c>
      <c r="I334" s="139">
        <v>5752</v>
      </c>
      <c r="J334" s="139">
        <v>8462</v>
      </c>
      <c r="K334" s="139">
        <v>7551</v>
      </c>
      <c r="L334" s="139">
        <v>4691</v>
      </c>
      <c r="M334" s="139">
        <v>4215</v>
      </c>
      <c r="N334" s="139">
        <v>5891000</v>
      </c>
      <c r="O334" s="139">
        <v>5519000</v>
      </c>
      <c r="P334" s="139">
        <f t="shared" si="15"/>
        <v>5304.75</v>
      </c>
      <c r="Q334" s="139">
        <f t="shared" si="16"/>
        <v>5279.5</v>
      </c>
      <c r="R334" s="139">
        <v>21900</v>
      </c>
      <c r="S334" s="139">
        <f t="shared" si="17"/>
        <v>3139584.0000000005</v>
      </c>
      <c r="U334" s="139" t="s">
        <v>432</v>
      </c>
    </row>
    <row r="335" spans="1:21" x14ac:dyDescent="0.2">
      <c r="A335" s="139" t="s">
        <v>690</v>
      </c>
      <c r="C335" s="139" t="s">
        <v>489</v>
      </c>
      <c r="D335" s="139">
        <v>15727</v>
      </c>
      <c r="E335" s="139">
        <v>19040</v>
      </c>
      <c r="F335" s="139">
        <v>9540</v>
      </c>
      <c r="G335" s="139">
        <v>26340</v>
      </c>
      <c r="H335" s="139">
        <v>12667</v>
      </c>
      <c r="I335" s="139">
        <v>21209</v>
      </c>
      <c r="J335" s="139">
        <v>10357</v>
      </c>
      <c r="K335" s="139">
        <v>2734</v>
      </c>
      <c r="L335" s="139">
        <v>-8612</v>
      </c>
      <c r="M335" s="139">
        <v>17425</v>
      </c>
      <c r="N335" s="139">
        <v>0</v>
      </c>
      <c r="O335" s="139">
        <v>-4074000</v>
      </c>
      <c r="P335" s="139">
        <f t="shared" si="15"/>
        <v>9483.5</v>
      </c>
      <c r="Q335" s="139">
        <f t="shared" si="16"/>
        <v>15628.75</v>
      </c>
      <c r="R335" s="139">
        <v>44720</v>
      </c>
      <c r="S335" s="139">
        <f t="shared" si="17"/>
        <v>6411059.2000000002</v>
      </c>
      <c r="U335" s="139" t="s">
        <v>489</v>
      </c>
    </row>
    <row r="336" spans="1:21" x14ac:dyDescent="0.2">
      <c r="A336" s="139" t="s">
        <v>691</v>
      </c>
      <c r="C336" s="139" t="s">
        <v>357</v>
      </c>
      <c r="D336" s="139">
        <v>10623</v>
      </c>
      <c r="E336" s="139">
        <v>9395</v>
      </c>
      <c r="F336" s="139">
        <v>9782</v>
      </c>
      <c r="G336" s="139">
        <v>11876</v>
      </c>
      <c r="H336" s="139">
        <v>8708</v>
      </c>
      <c r="I336" s="139">
        <v>10040</v>
      </c>
      <c r="J336" s="139">
        <v>6582</v>
      </c>
      <c r="K336" s="139">
        <v>6342</v>
      </c>
      <c r="L336" s="139">
        <v>13389</v>
      </c>
      <c r="M336" s="139">
        <v>16004</v>
      </c>
      <c r="N336" s="139">
        <v>9118000</v>
      </c>
      <c r="O336" s="139">
        <v>8198000</v>
      </c>
      <c r="P336" s="139">
        <f t="shared" si="15"/>
        <v>9557.75</v>
      </c>
      <c r="Q336" s="139">
        <f t="shared" si="16"/>
        <v>9877.25</v>
      </c>
      <c r="R336" s="139">
        <v>67604</v>
      </c>
      <c r="S336" s="139">
        <f t="shared" si="17"/>
        <v>9691709.4400000013</v>
      </c>
      <c r="U336" s="139" t="s">
        <v>357</v>
      </c>
    </row>
    <row r="337" spans="1:21" x14ac:dyDescent="0.2">
      <c r="A337" s="139" t="s">
        <v>699</v>
      </c>
      <c r="C337" s="139" t="s">
        <v>525</v>
      </c>
      <c r="D337" s="139">
        <v>61444</v>
      </c>
      <c r="E337" s="139">
        <v>64222</v>
      </c>
      <c r="F337" s="139">
        <v>59224</v>
      </c>
      <c r="G337" s="139">
        <v>66384</v>
      </c>
      <c r="H337" s="139">
        <v>123420</v>
      </c>
      <c r="I337" s="139">
        <v>142287</v>
      </c>
      <c r="J337" s="139">
        <v>16263</v>
      </c>
      <c r="K337" s="139">
        <v>17799</v>
      </c>
      <c r="L337" s="139">
        <v>17774</v>
      </c>
      <c r="M337" s="139">
        <v>20217</v>
      </c>
      <c r="N337" s="139">
        <v>45801000</v>
      </c>
      <c r="O337" s="139">
        <v>47149000</v>
      </c>
      <c r="P337" s="139">
        <f t="shared" si="15"/>
        <v>72472.25</v>
      </c>
      <c r="Q337" s="139">
        <f t="shared" si="16"/>
        <v>80010.5</v>
      </c>
      <c r="R337" s="139">
        <v>101023</v>
      </c>
      <c r="S337" s="139">
        <f t="shared" si="17"/>
        <v>14482657.280000001</v>
      </c>
      <c r="U337" s="139" t="s">
        <v>525</v>
      </c>
    </row>
    <row r="338" spans="1:21" x14ac:dyDescent="0.2">
      <c r="A338" s="139" t="s">
        <v>699</v>
      </c>
      <c r="C338" s="139" t="s">
        <v>526</v>
      </c>
      <c r="D338" s="139">
        <v>18639</v>
      </c>
      <c r="E338" s="139">
        <v>21931</v>
      </c>
      <c r="F338" s="139">
        <v>21446</v>
      </c>
      <c r="G338" s="139">
        <v>25453</v>
      </c>
      <c r="H338" s="139">
        <v>20896</v>
      </c>
      <c r="I338" s="139">
        <v>19965</v>
      </c>
      <c r="J338" s="139">
        <v>25184</v>
      </c>
      <c r="K338" s="139">
        <v>25202</v>
      </c>
      <c r="L338" s="139">
        <v>12016</v>
      </c>
      <c r="M338" s="139">
        <v>13422</v>
      </c>
      <c r="N338" s="139">
        <v>19099000</v>
      </c>
      <c r="O338" s="139">
        <v>22625000</v>
      </c>
      <c r="P338" s="139">
        <f t="shared" si="15"/>
        <v>20020</v>
      </c>
      <c r="Q338" s="139">
        <f t="shared" si="16"/>
        <v>22493.5</v>
      </c>
      <c r="R338" s="139">
        <v>43566</v>
      </c>
      <c r="S338" s="139">
        <f t="shared" si="17"/>
        <v>6245621.7600000007</v>
      </c>
      <c r="U338" s="139" t="s">
        <v>526</v>
      </c>
    </row>
    <row r="339" spans="1:21" x14ac:dyDescent="0.2">
      <c r="A339" s="139" t="s">
        <v>697</v>
      </c>
      <c r="C339" s="139" t="s">
        <v>314</v>
      </c>
      <c r="D339" s="139">
        <v>7368</v>
      </c>
      <c r="E339" s="139">
        <v>8073</v>
      </c>
      <c r="F339" s="139">
        <v>22614</v>
      </c>
      <c r="G339" s="139">
        <v>20358</v>
      </c>
      <c r="H339" s="139">
        <v>683</v>
      </c>
      <c r="I339" s="139">
        <v>1668</v>
      </c>
      <c r="J339" s="139">
        <v>5733</v>
      </c>
      <c r="K339" s="139">
        <v>4943</v>
      </c>
      <c r="L339" s="139">
        <v>4930</v>
      </c>
      <c r="M339" s="139">
        <v>6469</v>
      </c>
      <c r="N339" s="139">
        <v>2890000</v>
      </c>
      <c r="O339" s="139">
        <v>2210000</v>
      </c>
      <c r="P339" s="139">
        <f t="shared" si="15"/>
        <v>8388.75</v>
      </c>
      <c r="Q339" s="139">
        <f t="shared" si="16"/>
        <v>8077.25</v>
      </c>
      <c r="R339" s="139">
        <v>19711</v>
      </c>
      <c r="S339" s="139">
        <f t="shared" si="17"/>
        <v>2825768.9600000004</v>
      </c>
      <c r="U339" s="139" t="s">
        <v>314</v>
      </c>
    </row>
    <row r="340" spans="1:21" x14ac:dyDescent="0.2">
      <c r="A340" s="139" t="s">
        <v>694</v>
      </c>
      <c r="C340" s="139" t="s">
        <v>410</v>
      </c>
      <c r="D340" s="139">
        <v>55805</v>
      </c>
      <c r="E340" s="139">
        <v>53381</v>
      </c>
      <c r="F340" s="139">
        <v>48940</v>
      </c>
      <c r="G340" s="139">
        <v>58010</v>
      </c>
      <c r="H340" s="139">
        <v>31948</v>
      </c>
      <c r="I340" s="139">
        <v>51939</v>
      </c>
      <c r="J340" s="139">
        <v>22894</v>
      </c>
      <c r="K340" s="139">
        <v>34719</v>
      </c>
      <c r="L340" s="139">
        <v>34912</v>
      </c>
      <c r="M340" s="139">
        <v>36943</v>
      </c>
      <c r="N340" s="139">
        <v>30091000</v>
      </c>
      <c r="O340" s="139">
        <v>29582000</v>
      </c>
      <c r="P340" s="139">
        <f t="shared" si="15"/>
        <v>41696</v>
      </c>
      <c r="Q340" s="139">
        <f t="shared" si="16"/>
        <v>48228</v>
      </c>
      <c r="R340" s="139">
        <v>72062</v>
      </c>
      <c r="S340" s="139">
        <f t="shared" si="17"/>
        <v>10330808.32</v>
      </c>
      <c r="U340" s="139" t="s">
        <v>410</v>
      </c>
    </row>
    <row r="341" spans="1:21" x14ac:dyDescent="0.2">
      <c r="A341" s="139" t="s">
        <v>698</v>
      </c>
      <c r="C341" s="139" t="s">
        <v>194</v>
      </c>
      <c r="D341" s="139">
        <v>273</v>
      </c>
      <c r="E341" s="139">
        <v>258</v>
      </c>
      <c r="F341" s="139">
        <v>1496</v>
      </c>
      <c r="G341" s="139">
        <v>4432</v>
      </c>
      <c r="H341" s="139">
        <v>907</v>
      </c>
      <c r="I341" s="139">
        <v>1670</v>
      </c>
      <c r="J341" s="139">
        <v>470</v>
      </c>
      <c r="K341" s="139">
        <v>670</v>
      </c>
      <c r="L341" s="139">
        <v>310</v>
      </c>
      <c r="M341" s="139">
        <v>258</v>
      </c>
      <c r="N341" s="139">
        <v>183000</v>
      </c>
      <c r="O341" s="139">
        <v>262000</v>
      </c>
      <c r="P341" s="139">
        <f t="shared" si="15"/>
        <v>714.75</v>
      </c>
      <c r="Q341" s="139">
        <f t="shared" si="16"/>
        <v>1655.5</v>
      </c>
      <c r="R341" s="139">
        <v>15937</v>
      </c>
      <c r="S341" s="139">
        <f t="shared" si="17"/>
        <v>2284728.3200000003</v>
      </c>
      <c r="U341" s="139" t="s">
        <v>194</v>
      </c>
    </row>
    <row r="342" spans="1:21" x14ac:dyDescent="0.2">
      <c r="A342" s="139" t="s">
        <v>693</v>
      </c>
      <c r="C342" s="139" t="s">
        <v>215</v>
      </c>
      <c r="D342" s="139">
        <v>0</v>
      </c>
      <c r="E342" s="139">
        <v>0</v>
      </c>
      <c r="F342" s="139">
        <v>241</v>
      </c>
      <c r="G342" s="139">
        <v>241</v>
      </c>
      <c r="H342" s="139">
        <v>0</v>
      </c>
      <c r="I342" s="139">
        <v>0</v>
      </c>
      <c r="J342" s="139">
        <v>0</v>
      </c>
      <c r="K342" s="139">
        <v>0</v>
      </c>
      <c r="L342" s="139">
        <v>0</v>
      </c>
      <c r="M342" s="139">
        <v>0</v>
      </c>
      <c r="N342" s="139">
        <v>0</v>
      </c>
      <c r="O342" s="139">
        <v>0</v>
      </c>
      <c r="P342" s="139">
        <f t="shared" si="15"/>
        <v>60.25</v>
      </c>
      <c r="Q342" s="139">
        <f t="shared" si="16"/>
        <v>60.25</v>
      </c>
      <c r="R342" s="139">
        <v>1088</v>
      </c>
      <c r="S342" s="139">
        <f t="shared" si="17"/>
        <v>155975.68000000002</v>
      </c>
      <c r="U342" s="139" t="s">
        <v>215</v>
      </c>
    </row>
    <row r="343" spans="1:21" x14ac:dyDescent="0.2">
      <c r="A343" s="139" t="s">
        <v>701</v>
      </c>
      <c r="C343" s="139" t="s">
        <v>433</v>
      </c>
      <c r="D343" s="139">
        <v>17919</v>
      </c>
      <c r="E343" s="139">
        <v>19362</v>
      </c>
      <c r="F343" s="139">
        <v>17791</v>
      </c>
      <c r="G343" s="139">
        <v>26570</v>
      </c>
      <c r="H343" s="139">
        <v>15845</v>
      </c>
      <c r="I343" s="139">
        <v>17167</v>
      </c>
      <c r="J343" s="139">
        <v>10545</v>
      </c>
      <c r="K343" s="139">
        <v>12967</v>
      </c>
      <c r="L343" s="139">
        <v>12151</v>
      </c>
      <c r="M343" s="139">
        <v>27937</v>
      </c>
      <c r="N343" s="139">
        <v>21174495</v>
      </c>
      <c r="O343" s="139">
        <v>104168934</v>
      </c>
      <c r="P343" s="139">
        <f t="shared" si="15"/>
        <v>18182.373749999999</v>
      </c>
      <c r="Q343" s="139">
        <f t="shared" si="16"/>
        <v>41816.983500000002</v>
      </c>
      <c r="R343" s="139">
        <v>44399</v>
      </c>
      <c r="S343" s="139">
        <f t="shared" si="17"/>
        <v>6365040.6400000006</v>
      </c>
      <c r="U343" s="139" t="s">
        <v>433</v>
      </c>
    </row>
    <row r="344" spans="1:21" x14ac:dyDescent="0.2">
      <c r="A344" s="139" t="s">
        <v>699</v>
      </c>
      <c r="C344" s="139" t="s">
        <v>527</v>
      </c>
      <c r="D344" s="139">
        <v>1490</v>
      </c>
      <c r="E344" s="139">
        <v>1820</v>
      </c>
      <c r="F344" s="139">
        <v>697</v>
      </c>
      <c r="G344" s="139">
        <v>489</v>
      </c>
      <c r="H344" s="139">
        <v>1273</v>
      </c>
      <c r="I344" s="139">
        <v>815</v>
      </c>
      <c r="J344" s="139">
        <v>1740</v>
      </c>
      <c r="K344" s="139">
        <v>795</v>
      </c>
      <c r="L344" s="139">
        <v>2066</v>
      </c>
      <c r="M344" s="139">
        <v>2304</v>
      </c>
      <c r="N344" s="139">
        <v>864000</v>
      </c>
      <c r="O344" s="139">
        <v>864000</v>
      </c>
      <c r="P344" s="139">
        <f t="shared" si="15"/>
        <v>1081</v>
      </c>
      <c r="Q344" s="139">
        <f t="shared" si="16"/>
        <v>997</v>
      </c>
      <c r="R344" s="139">
        <v>12464</v>
      </c>
      <c r="S344" s="139">
        <f t="shared" si="17"/>
        <v>1786839.0400000003</v>
      </c>
      <c r="U344" s="139" t="s">
        <v>527</v>
      </c>
    </row>
    <row r="345" spans="1:21" x14ac:dyDescent="0.2">
      <c r="A345" s="139" t="s">
        <v>694</v>
      </c>
      <c r="C345" s="139" t="s">
        <v>411</v>
      </c>
      <c r="D345" s="139">
        <v>6883</v>
      </c>
      <c r="E345" s="139">
        <v>4778</v>
      </c>
      <c r="F345" s="139">
        <v>12093</v>
      </c>
      <c r="G345" s="139">
        <v>17086</v>
      </c>
      <c r="H345" s="139">
        <v>8763</v>
      </c>
      <c r="I345" s="139">
        <v>11495</v>
      </c>
      <c r="J345" s="139">
        <v>8641</v>
      </c>
      <c r="K345" s="139">
        <v>5312</v>
      </c>
      <c r="L345" s="139">
        <v>2688</v>
      </c>
      <c r="M345" s="139">
        <v>3303</v>
      </c>
      <c r="N345" s="139">
        <v>10409000</v>
      </c>
      <c r="O345" s="139">
        <v>9935000</v>
      </c>
      <c r="P345" s="139">
        <f t="shared" si="15"/>
        <v>9537</v>
      </c>
      <c r="Q345" s="139">
        <f t="shared" si="16"/>
        <v>10823.5</v>
      </c>
      <c r="R345" s="139">
        <v>25319</v>
      </c>
      <c r="S345" s="139">
        <f t="shared" si="17"/>
        <v>3629731.8400000003</v>
      </c>
      <c r="U345" s="139" t="s">
        <v>411</v>
      </c>
    </row>
    <row r="346" spans="1:21" x14ac:dyDescent="0.2">
      <c r="A346" s="139" t="s">
        <v>692</v>
      </c>
      <c r="C346" s="139" t="s">
        <v>285</v>
      </c>
      <c r="D346" s="139">
        <v>12928</v>
      </c>
      <c r="E346" s="139">
        <v>12392</v>
      </c>
      <c r="F346" s="139">
        <v>12646</v>
      </c>
      <c r="G346" s="139">
        <v>14693</v>
      </c>
      <c r="H346" s="139">
        <v>14307</v>
      </c>
      <c r="I346" s="139">
        <v>13882</v>
      </c>
      <c r="J346" s="139">
        <v>6016</v>
      </c>
      <c r="K346" s="139">
        <v>7338</v>
      </c>
      <c r="L346" s="139">
        <v>8404</v>
      </c>
      <c r="M346" s="139">
        <v>8818</v>
      </c>
      <c r="N346" s="139">
        <v>8027000</v>
      </c>
      <c r="O346" s="139">
        <v>8147000</v>
      </c>
      <c r="P346" s="139">
        <f t="shared" si="15"/>
        <v>11977</v>
      </c>
      <c r="Q346" s="139">
        <f t="shared" si="16"/>
        <v>12278.5</v>
      </c>
      <c r="R346" s="139">
        <v>24200</v>
      </c>
      <c r="S346" s="139">
        <f t="shared" si="17"/>
        <v>3469312.0000000005</v>
      </c>
      <c r="U346" s="139" t="s">
        <v>285</v>
      </c>
    </row>
    <row r="347" spans="1:21" x14ac:dyDescent="0.2">
      <c r="A347" s="139" t="s">
        <v>690</v>
      </c>
      <c r="C347" s="139" t="s">
        <v>490</v>
      </c>
      <c r="D347" s="139">
        <v>15244</v>
      </c>
      <c r="E347" s="139">
        <v>15475</v>
      </c>
      <c r="F347" s="139">
        <v>16501</v>
      </c>
      <c r="G347" s="139">
        <v>13868</v>
      </c>
      <c r="H347" s="139">
        <v>9371</v>
      </c>
      <c r="I347" s="139">
        <v>9872</v>
      </c>
      <c r="J347" s="139">
        <v>5249</v>
      </c>
      <c r="K347" s="139">
        <v>5830</v>
      </c>
      <c r="L347" s="139">
        <v>10631</v>
      </c>
      <c r="M347" s="139">
        <v>8737</v>
      </c>
      <c r="N347" s="139">
        <v>5607000</v>
      </c>
      <c r="O347" s="139">
        <v>5734000</v>
      </c>
      <c r="P347" s="139">
        <f t="shared" si="15"/>
        <v>11680.75</v>
      </c>
      <c r="Q347" s="139">
        <f t="shared" si="16"/>
        <v>11237.25</v>
      </c>
      <c r="R347" s="139">
        <v>26191</v>
      </c>
      <c r="S347" s="139">
        <f t="shared" si="17"/>
        <v>3754741.7600000002</v>
      </c>
      <c r="U347" s="139" t="s">
        <v>490</v>
      </c>
    </row>
    <row r="348" spans="1:21" x14ac:dyDescent="0.2">
      <c r="A348" s="139" t="s">
        <v>690</v>
      </c>
      <c r="C348" s="139" t="s">
        <v>491</v>
      </c>
      <c r="D348" s="139">
        <v>2321</v>
      </c>
      <c r="E348" s="139">
        <v>2267</v>
      </c>
      <c r="F348" s="139">
        <v>7058</v>
      </c>
      <c r="G348" s="139">
        <v>6955</v>
      </c>
      <c r="H348" s="139">
        <v>3176</v>
      </c>
      <c r="I348" s="139">
        <v>3265</v>
      </c>
      <c r="J348" s="139">
        <v>1545</v>
      </c>
      <c r="K348" s="139">
        <v>1584</v>
      </c>
      <c r="L348" s="139">
        <v>3057</v>
      </c>
      <c r="M348" s="139">
        <v>3674</v>
      </c>
      <c r="N348" s="139">
        <v>2583000</v>
      </c>
      <c r="O348" s="139">
        <v>2596000</v>
      </c>
      <c r="P348" s="139">
        <f t="shared" si="15"/>
        <v>3784.5</v>
      </c>
      <c r="Q348" s="139">
        <f t="shared" si="16"/>
        <v>3770.75</v>
      </c>
      <c r="R348" s="139">
        <v>16898</v>
      </c>
      <c r="S348" s="139">
        <f t="shared" si="17"/>
        <v>2422497.2800000003</v>
      </c>
      <c r="U348" s="139" t="s">
        <v>491</v>
      </c>
    </row>
    <row r="349" spans="1:21" x14ac:dyDescent="0.2">
      <c r="A349" s="139" t="s">
        <v>690</v>
      </c>
      <c r="C349" s="139" t="s">
        <v>492</v>
      </c>
      <c r="D349" s="139">
        <v>23729</v>
      </c>
      <c r="E349" s="139">
        <v>28542</v>
      </c>
      <c r="F349" s="139">
        <v>40331</v>
      </c>
      <c r="G349" s="139">
        <v>34665</v>
      </c>
      <c r="H349" s="139">
        <v>31084</v>
      </c>
      <c r="I349" s="139">
        <v>25344</v>
      </c>
      <c r="J349" s="139">
        <v>13714</v>
      </c>
      <c r="K349" s="139">
        <v>17679</v>
      </c>
      <c r="L349" s="139">
        <v>8162</v>
      </c>
      <c r="M349" s="139">
        <v>8292</v>
      </c>
      <c r="N349" s="139">
        <v>20263000</v>
      </c>
      <c r="O349" s="139">
        <v>17821000</v>
      </c>
      <c r="P349" s="139">
        <f t="shared" si="15"/>
        <v>28851.75</v>
      </c>
      <c r="Q349" s="139">
        <f t="shared" si="16"/>
        <v>26593</v>
      </c>
      <c r="R349" s="139">
        <v>47417</v>
      </c>
      <c r="S349" s="139">
        <f t="shared" si="17"/>
        <v>6797701.120000001</v>
      </c>
      <c r="U349" s="139" t="s">
        <v>492</v>
      </c>
    </row>
    <row r="350" spans="1:21" x14ac:dyDescent="0.2">
      <c r="A350" s="139" t="s">
        <v>694</v>
      </c>
      <c r="C350" s="139" t="s">
        <v>412</v>
      </c>
      <c r="D350" s="139">
        <v>13891</v>
      </c>
      <c r="E350" s="139">
        <v>14236</v>
      </c>
      <c r="F350" s="139">
        <v>12335</v>
      </c>
      <c r="G350" s="139">
        <v>12282</v>
      </c>
      <c r="H350" s="139">
        <v>72771</v>
      </c>
      <c r="I350" s="139">
        <v>76617</v>
      </c>
      <c r="J350" s="139">
        <v>29135</v>
      </c>
      <c r="K350" s="139">
        <v>31518</v>
      </c>
      <c r="L350" s="139">
        <v>16866</v>
      </c>
      <c r="M350" s="139">
        <v>18020</v>
      </c>
      <c r="N350" s="139">
        <v>15387000</v>
      </c>
      <c r="O350" s="139">
        <v>16008000</v>
      </c>
      <c r="P350" s="139">
        <f t="shared" si="15"/>
        <v>28596</v>
      </c>
      <c r="Q350" s="139">
        <f t="shared" si="16"/>
        <v>29785.75</v>
      </c>
      <c r="R350" s="139">
        <v>26536</v>
      </c>
      <c r="S350" s="139">
        <f t="shared" si="17"/>
        <v>3804200.9600000004</v>
      </c>
      <c r="U350" s="139" t="s">
        <v>412</v>
      </c>
    </row>
    <row r="351" spans="1:21" x14ac:dyDescent="0.2">
      <c r="A351" s="139" t="s">
        <v>692</v>
      </c>
      <c r="C351" s="139" t="s">
        <v>286</v>
      </c>
      <c r="D351" s="139">
        <v>4266</v>
      </c>
      <c r="E351" s="139">
        <v>4758</v>
      </c>
      <c r="F351" s="139">
        <v>7483</v>
      </c>
      <c r="G351" s="139">
        <v>6023</v>
      </c>
      <c r="H351" s="139">
        <v>5603</v>
      </c>
      <c r="I351" s="139">
        <v>6025</v>
      </c>
      <c r="J351" s="139">
        <v>5069</v>
      </c>
      <c r="K351" s="139">
        <v>3579</v>
      </c>
      <c r="L351" s="139">
        <v>2648</v>
      </c>
      <c r="M351" s="139">
        <v>3926</v>
      </c>
      <c r="N351" s="139">
        <v>6981000</v>
      </c>
      <c r="O351" s="139">
        <v>6175000</v>
      </c>
      <c r="P351" s="139">
        <f t="shared" si="15"/>
        <v>6083.25</v>
      </c>
      <c r="Q351" s="139">
        <f t="shared" si="16"/>
        <v>5745.25</v>
      </c>
      <c r="R351" s="139">
        <v>38497</v>
      </c>
      <c r="S351" s="139">
        <f t="shared" si="17"/>
        <v>5518929.9200000009</v>
      </c>
      <c r="U351" s="139" t="s">
        <v>286</v>
      </c>
    </row>
    <row r="352" spans="1:21" x14ac:dyDescent="0.2">
      <c r="A352" s="139" t="s">
        <v>694</v>
      </c>
      <c r="C352" s="139" t="s">
        <v>413</v>
      </c>
      <c r="D352" s="139">
        <v>462</v>
      </c>
      <c r="E352" s="139">
        <v>756</v>
      </c>
      <c r="F352" s="139">
        <v>9</v>
      </c>
      <c r="G352" s="139">
        <v>1210</v>
      </c>
      <c r="H352" s="139">
        <v>2447</v>
      </c>
      <c r="I352" s="139">
        <v>223</v>
      </c>
      <c r="J352" s="139">
        <v>23</v>
      </c>
      <c r="K352" s="139">
        <v>685</v>
      </c>
      <c r="L352" s="139">
        <v>0</v>
      </c>
      <c r="M352" s="139">
        <v>857</v>
      </c>
      <c r="N352" s="139">
        <v>13000</v>
      </c>
      <c r="O352" s="139">
        <v>441000</v>
      </c>
      <c r="P352" s="139">
        <f t="shared" si="15"/>
        <v>732.75</v>
      </c>
      <c r="Q352" s="139">
        <f t="shared" si="16"/>
        <v>657.5</v>
      </c>
      <c r="R352" s="139">
        <v>26051</v>
      </c>
      <c r="S352" s="139">
        <f t="shared" si="17"/>
        <v>3734671.3600000003</v>
      </c>
      <c r="U352" s="139" t="s">
        <v>413</v>
      </c>
    </row>
    <row r="353" spans="1:21" x14ac:dyDescent="0.2">
      <c r="A353" s="139" t="s">
        <v>691</v>
      </c>
      <c r="C353" s="139" t="s">
        <v>358</v>
      </c>
      <c r="D353" s="139">
        <v>955</v>
      </c>
      <c r="E353" s="139">
        <v>994</v>
      </c>
      <c r="F353" s="139">
        <v>3270</v>
      </c>
      <c r="G353" s="139">
        <v>2438</v>
      </c>
      <c r="H353" s="139">
        <v>106</v>
      </c>
      <c r="I353" s="139">
        <v>162</v>
      </c>
      <c r="J353" s="139">
        <v>73</v>
      </c>
      <c r="K353" s="139">
        <v>46</v>
      </c>
      <c r="L353" s="139">
        <v>0</v>
      </c>
      <c r="M353" s="139">
        <v>9</v>
      </c>
      <c r="N353" s="139">
        <v>0</v>
      </c>
      <c r="O353" s="139">
        <v>3000</v>
      </c>
      <c r="P353" s="139">
        <f t="shared" si="15"/>
        <v>1082.75</v>
      </c>
      <c r="Q353" s="139">
        <f t="shared" si="16"/>
        <v>899.25</v>
      </c>
      <c r="R353" s="139">
        <v>17291</v>
      </c>
      <c r="S353" s="139">
        <f t="shared" si="17"/>
        <v>2478837.7600000002</v>
      </c>
      <c r="U353" s="139" t="s">
        <v>358</v>
      </c>
    </row>
    <row r="354" spans="1:21" x14ac:dyDescent="0.2">
      <c r="A354" s="139" t="s">
        <v>699</v>
      </c>
      <c r="C354" s="139" t="s">
        <v>528</v>
      </c>
      <c r="D354" s="139">
        <v>91607</v>
      </c>
      <c r="E354" s="139">
        <v>91409</v>
      </c>
      <c r="F354" s="139">
        <v>67458</v>
      </c>
      <c r="G354" s="139">
        <v>71459</v>
      </c>
      <c r="H354" s="139">
        <v>58588</v>
      </c>
      <c r="I354" s="139">
        <v>65707</v>
      </c>
      <c r="J354" s="139">
        <v>62436</v>
      </c>
      <c r="K354" s="139">
        <v>62506</v>
      </c>
      <c r="L354" s="139">
        <v>6564</v>
      </c>
      <c r="M354" s="139">
        <v>5855</v>
      </c>
      <c r="N354" s="139">
        <v>5746000</v>
      </c>
      <c r="O354" s="139">
        <v>5572000</v>
      </c>
      <c r="P354" s="139">
        <f t="shared" si="15"/>
        <v>55849.75</v>
      </c>
      <c r="Q354" s="139">
        <f t="shared" si="16"/>
        <v>58536.75</v>
      </c>
      <c r="R354" s="139">
        <v>49576</v>
      </c>
      <c r="S354" s="139">
        <f t="shared" si="17"/>
        <v>7107215.3600000003</v>
      </c>
      <c r="U354" s="139" t="s">
        <v>528</v>
      </c>
    </row>
    <row r="355" spans="1:21" x14ac:dyDescent="0.2">
      <c r="A355" s="139" t="s">
        <v>691</v>
      </c>
      <c r="C355" s="139" t="s">
        <v>359</v>
      </c>
      <c r="D355" s="139">
        <v>2569</v>
      </c>
      <c r="E355" s="139">
        <v>3099</v>
      </c>
      <c r="F355" s="139">
        <v>630</v>
      </c>
      <c r="G355" s="139">
        <v>902</v>
      </c>
      <c r="H355" s="139">
        <v>451</v>
      </c>
      <c r="I355" s="139">
        <v>1337</v>
      </c>
      <c r="J355" s="139">
        <v>1075</v>
      </c>
      <c r="K355" s="139">
        <v>1922</v>
      </c>
      <c r="L355" s="139">
        <v>490</v>
      </c>
      <c r="M355" s="139">
        <v>501</v>
      </c>
      <c r="N355" s="139">
        <v>235000</v>
      </c>
      <c r="O355" s="139">
        <v>3220604</v>
      </c>
      <c r="P355" s="139">
        <f t="shared" si="15"/>
        <v>971.25</v>
      </c>
      <c r="Q355" s="139">
        <f t="shared" si="16"/>
        <v>2139.6509999999998</v>
      </c>
      <c r="R355" s="139">
        <v>18729</v>
      </c>
      <c r="S355" s="139">
        <f t="shared" si="17"/>
        <v>2684989.4400000004</v>
      </c>
      <c r="U355" s="139" t="s">
        <v>359</v>
      </c>
    </row>
    <row r="356" spans="1:21" x14ac:dyDescent="0.2">
      <c r="A356" s="139" t="s">
        <v>690</v>
      </c>
      <c r="C356" s="139" t="s">
        <v>493</v>
      </c>
      <c r="D356" s="139">
        <v>37977</v>
      </c>
      <c r="E356" s="139">
        <v>37610</v>
      </c>
      <c r="F356" s="139">
        <v>19643</v>
      </c>
      <c r="G356" s="139">
        <v>21290</v>
      </c>
      <c r="H356" s="139">
        <v>13627</v>
      </c>
      <c r="I356" s="139">
        <v>15342</v>
      </c>
      <c r="J356" s="139">
        <v>5145</v>
      </c>
      <c r="K356" s="139">
        <v>4908</v>
      </c>
      <c r="L356" s="139">
        <v>26996</v>
      </c>
      <c r="M356" s="139">
        <v>29508</v>
      </c>
      <c r="N356" s="139">
        <v>9584000</v>
      </c>
      <c r="O356" s="139">
        <v>6682000</v>
      </c>
      <c r="P356" s="139">
        <f t="shared" si="15"/>
        <v>20207.75</v>
      </c>
      <c r="Q356" s="139">
        <f t="shared" si="16"/>
        <v>20231</v>
      </c>
      <c r="R356" s="139">
        <v>26844</v>
      </c>
      <c r="S356" s="139">
        <f t="shared" si="17"/>
        <v>3848355.8400000003</v>
      </c>
      <c r="U356" s="139" t="s">
        <v>493</v>
      </c>
    </row>
    <row r="357" spans="1:21" x14ac:dyDescent="0.2">
      <c r="A357" s="139" t="s">
        <v>692</v>
      </c>
      <c r="C357" s="139" t="s">
        <v>287</v>
      </c>
      <c r="D357" s="139">
        <v>12282</v>
      </c>
      <c r="E357" s="139">
        <v>12666</v>
      </c>
      <c r="F357" s="139">
        <v>10069</v>
      </c>
      <c r="G357" s="139">
        <v>12018</v>
      </c>
      <c r="H357" s="139">
        <v>11185</v>
      </c>
      <c r="I357" s="139">
        <v>12868</v>
      </c>
      <c r="J357" s="139">
        <v>10491</v>
      </c>
      <c r="K357" s="139">
        <v>10117</v>
      </c>
      <c r="L357" s="139">
        <v>7369</v>
      </c>
      <c r="M357" s="139">
        <v>7599</v>
      </c>
      <c r="N357" s="139">
        <v>7603000</v>
      </c>
      <c r="O357" s="139">
        <v>6586000</v>
      </c>
      <c r="P357" s="139">
        <f t="shared" si="15"/>
        <v>10284.75</v>
      </c>
      <c r="Q357" s="139">
        <f t="shared" si="16"/>
        <v>11034.5</v>
      </c>
      <c r="R357" s="139">
        <v>18816</v>
      </c>
      <c r="S357" s="139">
        <f t="shared" si="17"/>
        <v>2697461.7600000002</v>
      </c>
      <c r="U357" s="139" t="s">
        <v>287</v>
      </c>
    </row>
    <row r="358" spans="1:21" x14ac:dyDescent="0.2">
      <c r="A358" s="139" t="s">
        <v>689</v>
      </c>
      <c r="C358" s="139" t="s">
        <v>171</v>
      </c>
      <c r="D358" s="139">
        <v>443</v>
      </c>
      <c r="E358" s="139">
        <v>799</v>
      </c>
      <c r="F358" s="139">
        <v>443</v>
      </c>
      <c r="G358" s="139">
        <v>1012</v>
      </c>
      <c r="H358" s="139">
        <v>1170</v>
      </c>
      <c r="I358" s="139">
        <v>1336</v>
      </c>
      <c r="J358" s="139">
        <v>3224</v>
      </c>
      <c r="K358" s="139">
        <v>2950</v>
      </c>
      <c r="L358" s="139">
        <v>1511</v>
      </c>
      <c r="M358" s="139">
        <v>1607</v>
      </c>
      <c r="N358" s="139">
        <v>1975000</v>
      </c>
      <c r="O358" s="139">
        <v>1690000</v>
      </c>
      <c r="P358" s="139">
        <f t="shared" si="15"/>
        <v>1007.75</v>
      </c>
      <c r="Q358" s="139">
        <f t="shared" si="16"/>
        <v>1209.25</v>
      </c>
      <c r="R358" s="139">
        <v>19088</v>
      </c>
      <c r="S358" s="139">
        <f t="shared" si="17"/>
        <v>2736455.6800000002</v>
      </c>
      <c r="U358" s="139" t="s">
        <v>171</v>
      </c>
    </row>
    <row r="359" spans="1:21" x14ac:dyDescent="0.2">
      <c r="A359" s="139" t="s">
        <v>692</v>
      </c>
      <c r="C359" s="139" t="s">
        <v>288</v>
      </c>
      <c r="D359" s="139">
        <v>1098</v>
      </c>
      <c r="E359" s="139">
        <v>1099</v>
      </c>
      <c r="F359" s="139">
        <v>4042</v>
      </c>
      <c r="G359" s="139">
        <v>3948</v>
      </c>
      <c r="H359" s="139">
        <v>543</v>
      </c>
      <c r="I359" s="139">
        <v>693</v>
      </c>
      <c r="J359" s="139">
        <v>896</v>
      </c>
      <c r="K359" s="139">
        <v>1111</v>
      </c>
      <c r="L359" s="139">
        <v>2346</v>
      </c>
      <c r="M359" s="139">
        <v>2172</v>
      </c>
      <c r="N359" s="139">
        <v>389000</v>
      </c>
      <c r="O359" s="139">
        <v>389000</v>
      </c>
      <c r="P359" s="139">
        <f t="shared" si="15"/>
        <v>1518</v>
      </c>
      <c r="Q359" s="139">
        <f t="shared" si="16"/>
        <v>1532.25</v>
      </c>
      <c r="R359" s="139">
        <v>14985</v>
      </c>
      <c r="S359" s="139">
        <f t="shared" si="17"/>
        <v>2148249.6000000001</v>
      </c>
      <c r="U359" s="139" t="s">
        <v>288</v>
      </c>
    </row>
    <row r="360" spans="1:21" x14ac:dyDescent="0.2">
      <c r="A360" s="139" t="s">
        <v>694</v>
      </c>
      <c r="C360" s="139" t="s">
        <v>414</v>
      </c>
      <c r="D360" s="139">
        <v>54291</v>
      </c>
      <c r="E360" s="139">
        <v>86576</v>
      </c>
      <c r="F360" s="139">
        <v>39693</v>
      </c>
      <c r="G360" s="139">
        <v>56863</v>
      </c>
      <c r="H360" s="139">
        <v>28395</v>
      </c>
      <c r="I360" s="139">
        <v>38145</v>
      </c>
      <c r="J360" s="139">
        <v>26523</v>
      </c>
      <c r="K360" s="139">
        <v>30954</v>
      </c>
      <c r="L360" s="139">
        <v>28652</v>
      </c>
      <c r="M360" s="139">
        <v>31738</v>
      </c>
      <c r="N360" s="139">
        <v>46790000</v>
      </c>
      <c r="O360" s="139">
        <v>47629000</v>
      </c>
      <c r="P360" s="139">
        <f t="shared" si="15"/>
        <v>42292.25</v>
      </c>
      <c r="Q360" s="139">
        <f t="shared" si="16"/>
        <v>57303.25</v>
      </c>
      <c r="R360" s="139">
        <v>105636</v>
      </c>
      <c r="S360" s="139">
        <f t="shared" si="17"/>
        <v>15143976.960000001</v>
      </c>
      <c r="U360" s="139" t="s">
        <v>414</v>
      </c>
    </row>
    <row r="361" spans="1:21" x14ac:dyDescent="0.2">
      <c r="A361" s="139" t="s">
        <v>693</v>
      </c>
      <c r="C361" s="139" t="s">
        <v>216</v>
      </c>
      <c r="D361" s="139">
        <v>623</v>
      </c>
      <c r="E361" s="139">
        <v>2606</v>
      </c>
      <c r="F361" s="139">
        <v>2425</v>
      </c>
      <c r="G361" s="139">
        <v>2701</v>
      </c>
      <c r="H361" s="139">
        <v>2878</v>
      </c>
      <c r="I361" s="139">
        <v>3559</v>
      </c>
      <c r="J361" s="139">
        <v>2177</v>
      </c>
      <c r="K361" s="139">
        <v>2076</v>
      </c>
      <c r="L361" s="139">
        <v>2643</v>
      </c>
      <c r="M361" s="139">
        <v>2414</v>
      </c>
      <c r="N361" s="139">
        <v>2095000</v>
      </c>
      <c r="O361" s="139">
        <v>1985000</v>
      </c>
      <c r="P361" s="139">
        <f t="shared" si="15"/>
        <v>2005.25</v>
      </c>
      <c r="Q361" s="139">
        <f t="shared" si="16"/>
        <v>2712.75</v>
      </c>
      <c r="R361" s="139">
        <v>25611</v>
      </c>
      <c r="S361" s="139">
        <f t="shared" si="17"/>
        <v>3671592.9600000004</v>
      </c>
      <c r="U361" s="139" t="s">
        <v>216</v>
      </c>
    </row>
    <row r="362" spans="1:21" x14ac:dyDescent="0.2">
      <c r="A362" s="139" t="s">
        <v>694</v>
      </c>
      <c r="C362" s="139" t="s">
        <v>415</v>
      </c>
      <c r="D362" s="139">
        <v>11553</v>
      </c>
      <c r="E362" s="139">
        <v>15672</v>
      </c>
      <c r="F362" s="139">
        <v>14182</v>
      </c>
      <c r="G362" s="139">
        <v>14077</v>
      </c>
      <c r="H362" s="139">
        <v>6320</v>
      </c>
      <c r="I362" s="139">
        <v>7779</v>
      </c>
      <c r="J362" s="139">
        <v>10348</v>
      </c>
      <c r="K362" s="139">
        <v>9486</v>
      </c>
      <c r="L362" s="139">
        <v>1950</v>
      </c>
      <c r="M362" s="139">
        <v>2722</v>
      </c>
      <c r="N362" s="139">
        <v>1524000</v>
      </c>
      <c r="O362" s="139">
        <v>3061000</v>
      </c>
      <c r="P362" s="139">
        <f t="shared" si="15"/>
        <v>8394.75</v>
      </c>
      <c r="Q362" s="139">
        <f t="shared" si="16"/>
        <v>10147.25</v>
      </c>
      <c r="R362" s="139">
        <v>14258</v>
      </c>
      <c r="S362" s="139">
        <f t="shared" si="17"/>
        <v>2044026.8800000001</v>
      </c>
      <c r="U362" s="139" t="s">
        <v>415</v>
      </c>
    </row>
    <row r="363" spans="1:21" x14ac:dyDescent="0.2">
      <c r="A363" s="139" t="s">
        <v>695</v>
      </c>
      <c r="C363" s="139" t="s">
        <v>238</v>
      </c>
      <c r="D363" s="139">
        <v>6208</v>
      </c>
      <c r="E363" s="139">
        <v>7976</v>
      </c>
      <c r="F363" s="139">
        <v>5717</v>
      </c>
      <c r="G363" s="139">
        <v>5534</v>
      </c>
      <c r="H363" s="139">
        <v>5597</v>
      </c>
      <c r="I363" s="139">
        <v>6529</v>
      </c>
      <c r="J363" s="139">
        <v>3941</v>
      </c>
      <c r="K363" s="139">
        <v>9675</v>
      </c>
      <c r="L363" s="139">
        <v>5406</v>
      </c>
      <c r="M363" s="139">
        <v>6175</v>
      </c>
      <c r="N363" s="139">
        <v>3130000</v>
      </c>
      <c r="O363" s="139">
        <v>3791000</v>
      </c>
      <c r="P363" s="139">
        <f t="shared" si="15"/>
        <v>5163</v>
      </c>
      <c r="Q363" s="139">
        <f t="shared" si="16"/>
        <v>5957.5</v>
      </c>
      <c r="R363" s="139">
        <v>24219</v>
      </c>
      <c r="S363" s="139">
        <f t="shared" si="17"/>
        <v>3472035.8400000003</v>
      </c>
      <c r="U363" s="139" t="s">
        <v>238</v>
      </c>
    </row>
    <row r="364" spans="1:21" x14ac:dyDescent="0.2">
      <c r="A364" s="139" t="s">
        <v>692</v>
      </c>
      <c r="C364" s="139" t="s">
        <v>289</v>
      </c>
      <c r="D364" s="139">
        <v>5290</v>
      </c>
      <c r="E364" s="139">
        <v>4124</v>
      </c>
      <c r="F364" s="139">
        <v>6790</v>
      </c>
      <c r="G364" s="139">
        <v>6643</v>
      </c>
      <c r="H364" s="139">
        <v>1575</v>
      </c>
      <c r="I364" s="139">
        <v>3711</v>
      </c>
      <c r="J364" s="139">
        <v>1820</v>
      </c>
      <c r="K364" s="139">
        <v>1403</v>
      </c>
      <c r="L364" s="139">
        <v>2594</v>
      </c>
      <c r="M364" s="139">
        <v>2594</v>
      </c>
      <c r="N364" s="139">
        <v>1370000</v>
      </c>
      <c r="O364" s="139">
        <v>983000</v>
      </c>
      <c r="P364" s="139">
        <f t="shared" si="15"/>
        <v>3756.25</v>
      </c>
      <c r="Q364" s="139">
        <f t="shared" si="16"/>
        <v>3865.25</v>
      </c>
      <c r="R364" s="139">
        <v>40878</v>
      </c>
      <c r="S364" s="139">
        <f t="shared" si="17"/>
        <v>5860270.080000001</v>
      </c>
      <c r="U364" s="139" t="s">
        <v>289</v>
      </c>
    </row>
    <row r="365" spans="1:21" x14ac:dyDescent="0.2">
      <c r="A365" s="139" t="s">
        <v>691</v>
      </c>
      <c r="C365" s="139" t="s">
        <v>360</v>
      </c>
      <c r="D365" s="139">
        <v>1842</v>
      </c>
      <c r="E365" s="139">
        <v>1817</v>
      </c>
      <c r="F365" s="139">
        <v>2672</v>
      </c>
      <c r="G365" s="139">
        <v>4600</v>
      </c>
      <c r="H365" s="139">
        <v>2210</v>
      </c>
      <c r="I365" s="139">
        <v>5437</v>
      </c>
      <c r="J365" s="139">
        <v>700</v>
      </c>
      <c r="K365" s="139">
        <v>1744</v>
      </c>
      <c r="L365" s="139">
        <v>2872</v>
      </c>
      <c r="M365" s="139">
        <v>2641</v>
      </c>
      <c r="N365" s="139">
        <v>1989000</v>
      </c>
      <c r="O365" s="139">
        <v>1996000</v>
      </c>
      <c r="P365" s="139">
        <f t="shared" si="15"/>
        <v>2178.25</v>
      </c>
      <c r="Q365" s="139">
        <f t="shared" si="16"/>
        <v>3462.5</v>
      </c>
      <c r="R365" s="139">
        <v>23442</v>
      </c>
      <c r="S365" s="139">
        <f t="shared" si="17"/>
        <v>3360645.1200000001</v>
      </c>
      <c r="U365" s="139" t="s">
        <v>360</v>
      </c>
    </row>
    <row r="366" spans="1:21" x14ac:dyDescent="0.2">
      <c r="A366" s="139" t="s">
        <v>697</v>
      </c>
      <c r="C366" s="139" t="s">
        <v>315</v>
      </c>
      <c r="D366" s="139">
        <v>5360</v>
      </c>
      <c r="E366" s="139">
        <v>6832</v>
      </c>
      <c r="F366" s="139">
        <v>5461</v>
      </c>
      <c r="G366" s="139">
        <v>5700</v>
      </c>
      <c r="H366" s="139">
        <v>6683</v>
      </c>
      <c r="I366" s="139">
        <v>6985</v>
      </c>
      <c r="J366" s="139">
        <v>4349</v>
      </c>
      <c r="K366" s="139">
        <v>4342</v>
      </c>
      <c r="L366" s="139">
        <v>4391</v>
      </c>
      <c r="M366" s="139">
        <v>4545</v>
      </c>
      <c r="N366" s="139">
        <v>5467000</v>
      </c>
      <c r="O366" s="139">
        <v>5140000</v>
      </c>
      <c r="P366" s="139">
        <f t="shared" si="15"/>
        <v>5742.75</v>
      </c>
      <c r="Q366" s="139">
        <f t="shared" si="16"/>
        <v>6164.25</v>
      </c>
      <c r="R366" s="139">
        <v>23504</v>
      </c>
      <c r="S366" s="139">
        <f t="shared" si="17"/>
        <v>3369533.4400000004</v>
      </c>
      <c r="U366" s="139" t="s">
        <v>315</v>
      </c>
    </row>
    <row r="367" spans="1:21" x14ac:dyDescent="0.2">
      <c r="A367" s="139" t="s">
        <v>698</v>
      </c>
      <c r="C367" s="139" t="s">
        <v>195</v>
      </c>
      <c r="D367" s="139">
        <v>268</v>
      </c>
      <c r="E367" s="139">
        <v>181</v>
      </c>
      <c r="F367" s="139">
        <v>124</v>
      </c>
      <c r="G367" s="139">
        <v>104</v>
      </c>
      <c r="H367" s="139">
        <v>0</v>
      </c>
      <c r="I367" s="139">
        <v>181</v>
      </c>
      <c r="J367" s="139">
        <v>103</v>
      </c>
      <c r="K367" s="139">
        <v>181</v>
      </c>
      <c r="L367" s="139">
        <v>0</v>
      </c>
      <c r="M367" s="139">
        <v>94</v>
      </c>
      <c r="N367" s="139">
        <v>276000</v>
      </c>
      <c r="O367" s="139">
        <v>291000</v>
      </c>
      <c r="P367" s="139">
        <f t="shared" si="15"/>
        <v>167</v>
      </c>
      <c r="Q367" s="139">
        <f t="shared" si="16"/>
        <v>189.25</v>
      </c>
      <c r="R367" s="139">
        <v>13596</v>
      </c>
      <c r="S367" s="139">
        <f t="shared" si="17"/>
        <v>1949122.5600000003</v>
      </c>
      <c r="U367" s="139" t="s">
        <v>195</v>
      </c>
    </row>
    <row r="368" spans="1:21" x14ac:dyDescent="0.2">
      <c r="A368" s="139" t="s">
        <v>692</v>
      </c>
      <c r="C368" s="139" t="s">
        <v>290</v>
      </c>
      <c r="D368" s="139">
        <v>5069</v>
      </c>
      <c r="E368" s="139">
        <v>5082</v>
      </c>
      <c r="F368" s="139">
        <v>5772</v>
      </c>
      <c r="G368" s="139">
        <v>7593</v>
      </c>
      <c r="H368" s="139">
        <v>4184</v>
      </c>
      <c r="I368" s="139">
        <v>3250</v>
      </c>
      <c r="J368" s="139">
        <v>1565</v>
      </c>
      <c r="K368" s="139">
        <v>1755</v>
      </c>
      <c r="L368" s="139">
        <v>2089</v>
      </c>
      <c r="M368" s="139">
        <v>2476</v>
      </c>
      <c r="N368" s="139">
        <v>3315000</v>
      </c>
      <c r="O368" s="139">
        <v>3285000</v>
      </c>
      <c r="P368" s="139">
        <f t="shared" si="15"/>
        <v>4585</v>
      </c>
      <c r="Q368" s="139">
        <f t="shared" si="16"/>
        <v>4802.5</v>
      </c>
      <c r="R368" s="139">
        <v>28904</v>
      </c>
      <c r="S368" s="139">
        <f t="shared" si="17"/>
        <v>4143677.4400000004</v>
      </c>
      <c r="U368" s="139" t="s">
        <v>290</v>
      </c>
    </row>
    <row r="369" spans="1:21" x14ac:dyDescent="0.2">
      <c r="A369" s="139" t="s">
        <v>690</v>
      </c>
      <c r="C369" s="139" t="s">
        <v>494</v>
      </c>
      <c r="D369" s="139">
        <v>1782</v>
      </c>
      <c r="E369" s="139">
        <v>1307</v>
      </c>
      <c r="F369" s="139">
        <v>1527</v>
      </c>
      <c r="G369" s="139">
        <v>858</v>
      </c>
      <c r="H369" s="139">
        <v>1076</v>
      </c>
      <c r="I369" s="139">
        <v>400</v>
      </c>
      <c r="J369" s="139">
        <v>4180</v>
      </c>
      <c r="K369" s="139">
        <v>2627</v>
      </c>
      <c r="L369" s="139">
        <v>673</v>
      </c>
      <c r="M369" s="139">
        <v>602</v>
      </c>
      <c r="N369" s="139">
        <v>1873000</v>
      </c>
      <c r="O369" s="139">
        <v>1435000</v>
      </c>
      <c r="P369" s="139">
        <f t="shared" si="15"/>
        <v>1564.5</v>
      </c>
      <c r="Q369" s="139">
        <f t="shared" si="16"/>
        <v>1000</v>
      </c>
      <c r="R369" s="139">
        <v>21833</v>
      </c>
      <c r="S369" s="139">
        <f t="shared" si="17"/>
        <v>3129978.8800000004</v>
      </c>
      <c r="U369" s="139" t="s">
        <v>494</v>
      </c>
    </row>
    <row r="370" spans="1:21" x14ac:dyDescent="0.2">
      <c r="A370" s="139" t="s">
        <v>697</v>
      </c>
      <c r="C370" s="139" t="s">
        <v>316</v>
      </c>
      <c r="D370" s="139">
        <v>18899</v>
      </c>
      <c r="E370" s="139">
        <v>12126</v>
      </c>
      <c r="F370" s="139">
        <v>14152</v>
      </c>
      <c r="G370" s="139">
        <v>13473</v>
      </c>
      <c r="H370" s="139">
        <v>8319</v>
      </c>
      <c r="I370" s="139">
        <v>8210</v>
      </c>
      <c r="J370" s="139">
        <v>4770</v>
      </c>
      <c r="K370" s="139">
        <v>7686</v>
      </c>
      <c r="L370" s="139">
        <v>4718</v>
      </c>
      <c r="M370" s="139">
        <v>4970</v>
      </c>
      <c r="N370" s="139">
        <v>21374000</v>
      </c>
      <c r="O370" s="139">
        <v>19210000</v>
      </c>
      <c r="P370" s="139">
        <f t="shared" si="15"/>
        <v>15686</v>
      </c>
      <c r="Q370" s="139">
        <f t="shared" si="16"/>
        <v>13254.75</v>
      </c>
      <c r="R370" s="139">
        <v>51522</v>
      </c>
      <c r="S370" s="139">
        <f t="shared" si="17"/>
        <v>7386193.9200000009</v>
      </c>
      <c r="U370" s="139" t="s">
        <v>316</v>
      </c>
    </row>
    <row r="371" spans="1:21" x14ac:dyDescent="0.2">
      <c r="A371" s="139" t="s">
        <v>691</v>
      </c>
      <c r="C371" s="139" t="s">
        <v>361</v>
      </c>
      <c r="D371" s="139">
        <v>1005</v>
      </c>
      <c r="E371" s="139">
        <v>1117</v>
      </c>
      <c r="F371" s="139">
        <v>260</v>
      </c>
      <c r="G371" s="139">
        <v>314</v>
      </c>
      <c r="H371" s="139">
        <v>664</v>
      </c>
      <c r="I371" s="139">
        <v>686</v>
      </c>
      <c r="J371" s="139">
        <v>983</v>
      </c>
      <c r="K371" s="139">
        <v>671</v>
      </c>
      <c r="L371" s="139">
        <v>34</v>
      </c>
      <c r="M371" s="139">
        <v>206</v>
      </c>
      <c r="N371" s="139">
        <v>111000</v>
      </c>
      <c r="O371" s="139">
        <v>408000</v>
      </c>
      <c r="P371" s="139">
        <f t="shared" si="15"/>
        <v>510</v>
      </c>
      <c r="Q371" s="139">
        <f t="shared" si="16"/>
        <v>631.25</v>
      </c>
      <c r="R371" s="139">
        <v>15804</v>
      </c>
      <c r="S371" s="139">
        <f t="shared" si="17"/>
        <v>2265661.4400000004</v>
      </c>
      <c r="U371" s="139" t="s">
        <v>361</v>
      </c>
    </row>
    <row r="372" spans="1:21" x14ac:dyDescent="0.2">
      <c r="A372" s="139" t="s">
        <v>697</v>
      </c>
      <c r="C372" s="139" t="s">
        <v>317</v>
      </c>
      <c r="D372" s="139">
        <v>8313</v>
      </c>
      <c r="E372" s="139">
        <v>8165</v>
      </c>
      <c r="F372" s="139">
        <v>25059</v>
      </c>
      <c r="G372" s="139">
        <v>24309</v>
      </c>
      <c r="H372" s="139">
        <v>6909</v>
      </c>
      <c r="I372" s="139">
        <v>6408</v>
      </c>
      <c r="J372" s="139">
        <v>4524</v>
      </c>
      <c r="K372" s="139">
        <v>4548</v>
      </c>
      <c r="L372" s="139">
        <v>3468</v>
      </c>
      <c r="M372" s="139">
        <v>3525</v>
      </c>
      <c r="N372" s="139">
        <v>11042000</v>
      </c>
      <c r="O372" s="139">
        <v>10773000</v>
      </c>
      <c r="P372" s="139">
        <f t="shared" si="15"/>
        <v>12830.75</v>
      </c>
      <c r="Q372" s="139">
        <f t="shared" si="16"/>
        <v>12413.75</v>
      </c>
      <c r="R372" s="139">
        <v>12701</v>
      </c>
      <c r="S372" s="139">
        <f t="shared" si="17"/>
        <v>1820815.3600000001</v>
      </c>
      <c r="U372" s="139" t="s">
        <v>317</v>
      </c>
    </row>
    <row r="373" spans="1:21" x14ac:dyDescent="0.2">
      <c r="A373" s="139" t="s">
        <v>690</v>
      </c>
      <c r="C373" s="139" t="s">
        <v>495</v>
      </c>
      <c r="D373" s="139">
        <v>3492</v>
      </c>
      <c r="E373" s="139">
        <v>3688</v>
      </c>
      <c r="F373" s="139">
        <v>4784</v>
      </c>
      <c r="G373" s="139">
        <v>4408</v>
      </c>
      <c r="H373" s="139">
        <v>4145</v>
      </c>
      <c r="I373" s="139">
        <v>4335</v>
      </c>
      <c r="J373" s="139">
        <v>2889</v>
      </c>
      <c r="K373" s="139">
        <v>3689</v>
      </c>
      <c r="L373" s="139">
        <v>7021</v>
      </c>
      <c r="M373" s="139">
        <v>9277</v>
      </c>
      <c r="N373" s="139">
        <v>3428000</v>
      </c>
      <c r="O373" s="139">
        <v>3219000</v>
      </c>
      <c r="P373" s="139">
        <f t="shared" si="15"/>
        <v>3962.25</v>
      </c>
      <c r="Q373" s="139">
        <f t="shared" si="16"/>
        <v>3912.5</v>
      </c>
      <c r="R373" s="139">
        <v>14537</v>
      </c>
      <c r="S373" s="139">
        <f t="shared" si="17"/>
        <v>2084024.3200000003</v>
      </c>
      <c r="U373" s="139" t="s">
        <v>495</v>
      </c>
    </row>
    <row r="374" spans="1:21" x14ac:dyDescent="0.2">
      <c r="A374" s="139" t="s">
        <v>691</v>
      </c>
      <c r="C374" s="139" t="s">
        <v>362</v>
      </c>
      <c r="D374" s="139">
        <v>52242</v>
      </c>
      <c r="E374" s="139">
        <v>47681</v>
      </c>
      <c r="F374" s="139">
        <v>27330</v>
      </c>
      <c r="G374" s="139">
        <v>44300</v>
      </c>
      <c r="H374" s="139">
        <v>33548</v>
      </c>
      <c r="I374" s="139">
        <v>42969</v>
      </c>
      <c r="J374" s="139">
        <v>54573</v>
      </c>
      <c r="K374" s="139">
        <v>31881</v>
      </c>
      <c r="L374" s="139">
        <v>32517</v>
      </c>
      <c r="M374" s="139">
        <v>43365</v>
      </c>
      <c r="N374" s="139">
        <v>37879000</v>
      </c>
      <c r="O374" s="139">
        <v>31240000</v>
      </c>
      <c r="P374" s="139">
        <f t="shared" si="15"/>
        <v>37749.75</v>
      </c>
      <c r="Q374" s="139">
        <f t="shared" si="16"/>
        <v>41547.5</v>
      </c>
      <c r="R374" s="139">
        <v>153750</v>
      </c>
      <c r="S374" s="139">
        <f t="shared" si="17"/>
        <v>22041600.000000004</v>
      </c>
      <c r="U374" s="139" t="s">
        <v>362</v>
      </c>
    </row>
    <row r="375" spans="1:21" x14ac:dyDescent="0.2">
      <c r="A375" s="139" t="s">
        <v>692</v>
      </c>
      <c r="C375" s="139" t="s">
        <v>291</v>
      </c>
      <c r="D375" s="139">
        <v>16641</v>
      </c>
      <c r="E375" s="139">
        <v>17993</v>
      </c>
      <c r="F375" s="139">
        <v>10422</v>
      </c>
      <c r="G375" s="139">
        <v>12527</v>
      </c>
      <c r="H375" s="139">
        <v>16771</v>
      </c>
      <c r="I375" s="139">
        <v>19345</v>
      </c>
      <c r="J375" s="139">
        <v>7042</v>
      </c>
      <c r="K375" s="139">
        <v>6950</v>
      </c>
      <c r="L375" s="139">
        <v>6746</v>
      </c>
      <c r="M375" s="139">
        <v>6779</v>
      </c>
      <c r="N375" s="139">
        <v>5996000</v>
      </c>
      <c r="O375" s="139">
        <v>6604000</v>
      </c>
      <c r="P375" s="139">
        <f t="shared" si="15"/>
        <v>12457.5</v>
      </c>
      <c r="Q375" s="139">
        <f t="shared" si="16"/>
        <v>14117.25</v>
      </c>
      <c r="R375" s="139">
        <v>27727</v>
      </c>
      <c r="S375" s="139">
        <f t="shared" si="17"/>
        <v>3974942.7200000002</v>
      </c>
      <c r="U375" s="139" t="s">
        <v>291</v>
      </c>
    </row>
    <row r="376" spans="1:21" x14ac:dyDescent="0.2">
      <c r="A376" s="139" t="s">
        <v>691</v>
      </c>
      <c r="C376" s="139" t="s">
        <v>363</v>
      </c>
      <c r="D376" s="139">
        <v>340</v>
      </c>
      <c r="E376" s="139">
        <v>58</v>
      </c>
      <c r="F376" s="139">
        <v>258</v>
      </c>
      <c r="G376" s="139">
        <v>31</v>
      </c>
      <c r="H376" s="139">
        <v>299</v>
      </c>
      <c r="I376" s="139">
        <v>26</v>
      </c>
      <c r="J376" s="139">
        <v>299</v>
      </c>
      <c r="K376" s="139">
        <v>20</v>
      </c>
      <c r="L376" s="139">
        <v>0</v>
      </c>
      <c r="M376" s="139">
        <v>0</v>
      </c>
      <c r="N376" s="139">
        <v>0</v>
      </c>
      <c r="O376" s="139">
        <v>0</v>
      </c>
      <c r="P376" s="139">
        <f t="shared" si="15"/>
        <v>224.25</v>
      </c>
      <c r="Q376" s="139">
        <f t="shared" si="16"/>
        <v>28.75</v>
      </c>
      <c r="R376" s="139">
        <v>16894</v>
      </c>
      <c r="S376" s="139">
        <f t="shared" si="17"/>
        <v>2421923.8400000003</v>
      </c>
      <c r="U376" s="139" t="s">
        <v>363</v>
      </c>
    </row>
    <row r="377" spans="1:21" x14ac:dyDescent="0.2">
      <c r="A377" s="139" t="s">
        <v>694</v>
      </c>
      <c r="C377" s="139" t="s">
        <v>416</v>
      </c>
      <c r="D377" s="139">
        <v>2746</v>
      </c>
      <c r="E377" s="139">
        <v>2796</v>
      </c>
      <c r="F377" s="139">
        <v>3974</v>
      </c>
      <c r="G377" s="139">
        <v>5257</v>
      </c>
      <c r="H377" s="139">
        <v>885</v>
      </c>
      <c r="I377" s="139">
        <v>1080</v>
      </c>
      <c r="J377" s="139">
        <v>1195</v>
      </c>
      <c r="K377" s="139">
        <v>1290</v>
      </c>
      <c r="L377" s="139">
        <v>1199</v>
      </c>
      <c r="M377" s="139">
        <v>969</v>
      </c>
      <c r="N377" s="139">
        <v>3137000</v>
      </c>
      <c r="O377" s="139">
        <v>2987000</v>
      </c>
      <c r="P377" s="139">
        <f t="shared" si="15"/>
        <v>2685.5</v>
      </c>
      <c r="Q377" s="139">
        <f t="shared" si="16"/>
        <v>3030</v>
      </c>
      <c r="R377" s="139">
        <v>13839</v>
      </c>
      <c r="S377" s="139">
        <f t="shared" si="17"/>
        <v>1983959.0400000003</v>
      </c>
      <c r="U377" s="139" t="s">
        <v>416</v>
      </c>
    </row>
    <row r="378" spans="1:21" x14ac:dyDescent="0.2">
      <c r="A378" s="139" t="s">
        <v>696</v>
      </c>
      <c r="C378" s="139" t="s">
        <v>534</v>
      </c>
      <c r="D378" s="139">
        <v>380</v>
      </c>
      <c r="E378" s="139">
        <v>648</v>
      </c>
      <c r="F378" s="139">
        <v>214</v>
      </c>
      <c r="G378" s="139">
        <v>762</v>
      </c>
      <c r="H378" s="139">
        <v>3796</v>
      </c>
      <c r="I378" s="139">
        <v>5664</v>
      </c>
      <c r="J378" s="139">
        <v>23646</v>
      </c>
      <c r="K378" s="139">
        <v>24630</v>
      </c>
      <c r="L378" s="139">
        <v>23553</v>
      </c>
      <c r="M378" s="139">
        <v>22980</v>
      </c>
      <c r="N378" s="139">
        <v>114000</v>
      </c>
      <c r="O378" s="139">
        <v>572000</v>
      </c>
      <c r="P378" s="139">
        <f t="shared" si="15"/>
        <v>1126</v>
      </c>
      <c r="Q378" s="139">
        <f t="shared" si="16"/>
        <v>1911.5</v>
      </c>
      <c r="R378" s="139">
        <v>22459</v>
      </c>
      <c r="S378" s="139">
        <f t="shared" si="17"/>
        <v>3219722.2400000002</v>
      </c>
      <c r="U378" s="139" t="s">
        <v>534</v>
      </c>
    </row>
    <row r="379" spans="1:21" x14ac:dyDescent="0.2">
      <c r="A379" s="139" t="s">
        <v>697</v>
      </c>
      <c r="C379" s="139" t="s">
        <v>318</v>
      </c>
      <c r="D379" s="139">
        <v>5596</v>
      </c>
      <c r="E379" s="139">
        <v>12010</v>
      </c>
      <c r="F379" s="139">
        <v>14012</v>
      </c>
      <c r="G379" s="139">
        <v>14514</v>
      </c>
      <c r="H379" s="139">
        <v>10403</v>
      </c>
      <c r="I379" s="139">
        <v>10528</v>
      </c>
      <c r="J379" s="139">
        <v>12382</v>
      </c>
      <c r="K379" s="139">
        <v>12593</v>
      </c>
      <c r="L379" s="139">
        <v>5586</v>
      </c>
      <c r="M379" s="139">
        <v>5650</v>
      </c>
      <c r="N379" s="139">
        <v>3623000</v>
      </c>
      <c r="O379" s="139">
        <v>8395000</v>
      </c>
      <c r="P379" s="139">
        <f t="shared" si="15"/>
        <v>8408.5</v>
      </c>
      <c r="Q379" s="139">
        <f t="shared" si="16"/>
        <v>11361.75</v>
      </c>
      <c r="R379" s="139">
        <v>62826</v>
      </c>
      <c r="S379" s="139">
        <f t="shared" si="17"/>
        <v>9006735.3600000013</v>
      </c>
      <c r="U379" s="139" t="s">
        <v>318</v>
      </c>
    </row>
    <row r="380" spans="1:21" x14ac:dyDescent="0.2">
      <c r="A380" s="139" t="s">
        <v>692</v>
      </c>
      <c r="C380" s="139" t="s">
        <v>292</v>
      </c>
      <c r="D380" s="139">
        <v>17190</v>
      </c>
      <c r="E380" s="139">
        <v>22599</v>
      </c>
      <c r="F380" s="139">
        <v>12782</v>
      </c>
      <c r="G380" s="139">
        <v>38470</v>
      </c>
      <c r="H380" s="139">
        <v>14513</v>
      </c>
      <c r="I380" s="139">
        <v>34764</v>
      </c>
      <c r="J380" s="139">
        <v>6236</v>
      </c>
      <c r="K380" s="139">
        <v>6965</v>
      </c>
      <c r="L380" s="139">
        <v>8904</v>
      </c>
      <c r="M380" s="139">
        <v>12454</v>
      </c>
      <c r="N380" s="139">
        <v>8231000</v>
      </c>
      <c r="O380" s="139">
        <v>7275000</v>
      </c>
      <c r="P380" s="139">
        <f t="shared" si="15"/>
        <v>13179</v>
      </c>
      <c r="Q380" s="139">
        <f t="shared" si="16"/>
        <v>25777</v>
      </c>
      <c r="R380" s="139">
        <v>32374</v>
      </c>
      <c r="S380" s="139">
        <f t="shared" si="17"/>
        <v>4641136.6400000006</v>
      </c>
      <c r="U380" s="139" t="s">
        <v>292</v>
      </c>
    </row>
    <row r="381" spans="1:21" x14ac:dyDescent="0.2">
      <c r="A381" s="139" t="s">
        <v>694</v>
      </c>
      <c r="C381" s="139" t="s">
        <v>417</v>
      </c>
      <c r="D381" s="139">
        <v>38636</v>
      </c>
      <c r="E381" s="139">
        <v>40401</v>
      </c>
      <c r="F381" s="139">
        <v>41647</v>
      </c>
      <c r="G381" s="139">
        <v>54506</v>
      </c>
      <c r="H381" s="139">
        <v>27805</v>
      </c>
      <c r="I381" s="139">
        <v>25189</v>
      </c>
      <c r="J381" s="139">
        <v>34239</v>
      </c>
      <c r="K381" s="139">
        <v>32165</v>
      </c>
      <c r="L381" s="139">
        <v>25452</v>
      </c>
      <c r="M381" s="139">
        <v>33034</v>
      </c>
      <c r="N381" s="139">
        <v>14954000</v>
      </c>
      <c r="O381" s="139">
        <v>13065000</v>
      </c>
      <c r="P381" s="139">
        <f t="shared" si="15"/>
        <v>30760.5</v>
      </c>
      <c r="Q381" s="139">
        <f t="shared" si="16"/>
        <v>33290.25</v>
      </c>
      <c r="R381" s="139">
        <v>124745</v>
      </c>
      <c r="S381" s="139">
        <f t="shared" si="17"/>
        <v>17883443.200000003</v>
      </c>
      <c r="U381" s="139" t="s">
        <v>417</v>
      </c>
    </row>
    <row r="382" spans="1:21" x14ac:dyDescent="0.2">
      <c r="A382" s="139" t="s">
        <v>694</v>
      </c>
      <c r="C382" s="139" t="s">
        <v>418</v>
      </c>
      <c r="D382" s="139">
        <v>10</v>
      </c>
      <c r="E382" s="139">
        <v>63</v>
      </c>
      <c r="F382" s="139">
        <v>0</v>
      </c>
      <c r="G382" s="139">
        <v>41</v>
      </c>
      <c r="H382" s="139">
        <v>1632</v>
      </c>
      <c r="I382" s="139">
        <v>1652</v>
      </c>
      <c r="J382" s="139">
        <v>2480</v>
      </c>
      <c r="K382" s="139">
        <v>3146</v>
      </c>
      <c r="L382" s="139">
        <v>9090</v>
      </c>
      <c r="M382" s="139">
        <v>7850</v>
      </c>
      <c r="N382" s="139">
        <v>694000</v>
      </c>
      <c r="O382" s="139">
        <v>681000</v>
      </c>
      <c r="P382" s="139">
        <f t="shared" si="15"/>
        <v>584</v>
      </c>
      <c r="Q382" s="139">
        <f t="shared" si="16"/>
        <v>609.25</v>
      </c>
      <c r="R382" s="139">
        <v>8371</v>
      </c>
      <c r="S382" s="139">
        <f t="shared" si="17"/>
        <v>1200066.5600000001</v>
      </c>
      <c r="U382" s="139" t="s">
        <v>418</v>
      </c>
    </row>
    <row r="383" spans="1:21" x14ac:dyDescent="0.2">
      <c r="A383" s="139" t="s">
        <v>698</v>
      </c>
      <c r="C383" s="139" t="s">
        <v>196</v>
      </c>
      <c r="D383" s="139">
        <v>4053</v>
      </c>
      <c r="E383" s="139">
        <v>3728</v>
      </c>
      <c r="F383" s="139">
        <v>1490</v>
      </c>
      <c r="G383" s="139">
        <v>1539</v>
      </c>
      <c r="H383" s="139">
        <v>3187</v>
      </c>
      <c r="I383" s="139">
        <v>4131</v>
      </c>
      <c r="J383" s="139">
        <v>1263</v>
      </c>
      <c r="K383" s="139">
        <v>1335</v>
      </c>
      <c r="L383" s="139">
        <v>4742</v>
      </c>
      <c r="M383" s="139">
        <v>4915</v>
      </c>
      <c r="N383" s="139">
        <v>961000</v>
      </c>
      <c r="O383" s="139">
        <v>1158000</v>
      </c>
      <c r="P383" s="139">
        <f t="shared" si="15"/>
        <v>2422.75</v>
      </c>
      <c r="Q383" s="139">
        <f t="shared" si="16"/>
        <v>2639</v>
      </c>
      <c r="R383" s="139">
        <v>18863</v>
      </c>
      <c r="S383" s="139">
        <f t="shared" si="17"/>
        <v>2704199.6800000002</v>
      </c>
      <c r="U383" s="139" t="s">
        <v>196</v>
      </c>
    </row>
    <row r="384" spans="1:21" x14ac:dyDescent="0.2">
      <c r="A384" s="139" t="s">
        <v>694</v>
      </c>
      <c r="C384" s="139" t="s">
        <v>419</v>
      </c>
      <c r="D384" s="139">
        <v>8035</v>
      </c>
      <c r="E384" s="139">
        <v>7831</v>
      </c>
      <c r="F384" s="139">
        <v>10336</v>
      </c>
      <c r="G384" s="139">
        <v>14609</v>
      </c>
      <c r="H384" s="139">
        <v>19703</v>
      </c>
      <c r="I384" s="139">
        <v>29702</v>
      </c>
      <c r="J384" s="139">
        <v>22143</v>
      </c>
      <c r="K384" s="139">
        <v>20205</v>
      </c>
      <c r="L384" s="139">
        <v>20462</v>
      </c>
      <c r="M384" s="139">
        <v>20757</v>
      </c>
      <c r="N384" s="139">
        <v>18087000</v>
      </c>
      <c r="O384" s="139">
        <v>18747000</v>
      </c>
      <c r="P384" s="139">
        <f t="shared" si="15"/>
        <v>14040.25</v>
      </c>
      <c r="Q384" s="139">
        <f t="shared" si="16"/>
        <v>17722.25</v>
      </c>
      <c r="R384" s="139">
        <v>41462</v>
      </c>
      <c r="S384" s="139">
        <f t="shared" si="17"/>
        <v>5943992.3200000003</v>
      </c>
      <c r="U384" s="139" t="s">
        <v>419</v>
      </c>
    </row>
    <row r="385" spans="1:21" x14ac:dyDescent="0.2">
      <c r="A385" s="139" t="s">
        <v>690</v>
      </c>
      <c r="C385" s="139" t="s">
        <v>496</v>
      </c>
      <c r="D385" s="139">
        <v>2042</v>
      </c>
      <c r="E385" s="139">
        <v>2856</v>
      </c>
      <c r="F385" s="139">
        <v>1774</v>
      </c>
      <c r="G385" s="139">
        <v>1972</v>
      </c>
      <c r="H385" s="139">
        <v>4042</v>
      </c>
      <c r="I385" s="139">
        <v>3451</v>
      </c>
      <c r="J385" s="139">
        <v>1206</v>
      </c>
      <c r="K385" s="139">
        <v>1123</v>
      </c>
      <c r="L385" s="139">
        <v>1354</v>
      </c>
      <c r="M385" s="139">
        <v>2572</v>
      </c>
      <c r="N385" s="139">
        <v>-2456000</v>
      </c>
      <c r="O385" s="139">
        <v>-2846000</v>
      </c>
      <c r="P385" s="139">
        <f t="shared" ref="P385:P389" si="18">SUM(D385,F385,H385,N385/1000)/4</f>
        <v>1350.5</v>
      </c>
      <c r="Q385" s="139">
        <f t="shared" ref="Q385:Q389" si="19">SUM(E385,G385,I385,O385/1000)/4</f>
        <v>1358.25</v>
      </c>
      <c r="R385" s="139">
        <v>21687</v>
      </c>
      <c r="S385" s="139">
        <f t="shared" si="17"/>
        <v>3109048.3200000003</v>
      </c>
      <c r="U385" s="139" t="s">
        <v>496</v>
      </c>
    </row>
    <row r="386" spans="1:21" x14ac:dyDescent="0.2">
      <c r="A386" s="139" t="s">
        <v>692</v>
      </c>
      <c r="C386" s="139" t="s">
        <v>293</v>
      </c>
      <c r="D386" s="139">
        <v>10956</v>
      </c>
      <c r="E386" s="139">
        <v>13870</v>
      </c>
      <c r="F386" s="139">
        <v>28717</v>
      </c>
      <c r="G386" s="139">
        <v>44179</v>
      </c>
      <c r="H386" s="139">
        <v>13262</v>
      </c>
      <c r="I386" s="139">
        <v>15110</v>
      </c>
      <c r="J386" s="139">
        <v>5344</v>
      </c>
      <c r="K386" s="139">
        <v>5918</v>
      </c>
      <c r="L386" s="139">
        <v>5755</v>
      </c>
      <c r="M386" s="139">
        <v>8520</v>
      </c>
      <c r="N386" s="139">
        <v>4879000</v>
      </c>
      <c r="O386" s="139">
        <v>6310000</v>
      </c>
      <c r="P386" s="139">
        <f t="shared" si="18"/>
        <v>14453.5</v>
      </c>
      <c r="Q386" s="139">
        <f t="shared" si="19"/>
        <v>19867.25</v>
      </c>
      <c r="R386" s="139">
        <v>47318</v>
      </c>
      <c r="S386" s="139">
        <f t="shared" si="17"/>
        <v>6783508.4800000004</v>
      </c>
      <c r="U386" s="139" t="s">
        <v>293</v>
      </c>
    </row>
    <row r="387" spans="1:21" x14ac:dyDescent="0.2">
      <c r="A387" s="139" t="s">
        <v>695</v>
      </c>
      <c r="C387" s="139" t="s">
        <v>239</v>
      </c>
      <c r="D387" s="139">
        <v>5359</v>
      </c>
      <c r="E387" s="139">
        <v>5740</v>
      </c>
      <c r="F387" s="139">
        <v>4244</v>
      </c>
      <c r="G387" s="139">
        <v>10686</v>
      </c>
      <c r="H387" s="139">
        <v>6642</v>
      </c>
      <c r="I387" s="139">
        <v>8018</v>
      </c>
      <c r="J387" s="139">
        <v>3776</v>
      </c>
      <c r="K387" s="139">
        <v>5831</v>
      </c>
      <c r="L387" s="139">
        <v>6246</v>
      </c>
      <c r="M387" s="139">
        <v>11370</v>
      </c>
      <c r="N387" s="139">
        <v>5631000</v>
      </c>
      <c r="O387" s="139">
        <v>5447000</v>
      </c>
      <c r="P387" s="139">
        <f t="shared" si="18"/>
        <v>5469</v>
      </c>
      <c r="Q387" s="139">
        <f t="shared" si="19"/>
        <v>7472.75</v>
      </c>
      <c r="R387" s="139">
        <v>22308</v>
      </c>
      <c r="S387" s="139">
        <f t="shared" ref="S387:S390" si="20">R387*143.36</f>
        <v>3198074.8800000004</v>
      </c>
      <c r="U387" s="139" t="s">
        <v>239</v>
      </c>
    </row>
    <row r="388" spans="1:21" x14ac:dyDescent="0.2">
      <c r="A388" s="139" t="s">
        <v>694</v>
      </c>
      <c r="C388" s="139" t="s">
        <v>420</v>
      </c>
      <c r="D388" s="139">
        <v>10725</v>
      </c>
      <c r="E388" s="139">
        <v>14731</v>
      </c>
      <c r="F388" s="139">
        <v>5739</v>
      </c>
      <c r="G388" s="139">
        <v>12824</v>
      </c>
      <c r="H388" s="139">
        <v>3946</v>
      </c>
      <c r="I388" s="139">
        <v>7387</v>
      </c>
      <c r="J388" s="139">
        <v>17378</v>
      </c>
      <c r="K388" s="139">
        <v>15911</v>
      </c>
      <c r="L388" s="139">
        <v>6786</v>
      </c>
      <c r="M388" s="139">
        <v>5800</v>
      </c>
      <c r="N388" s="139">
        <v>5003000</v>
      </c>
      <c r="O388" s="139">
        <v>3867000</v>
      </c>
      <c r="P388" s="139">
        <f t="shared" si="18"/>
        <v>6353.25</v>
      </c>
      <c r="Q388" s="139">
        <f t="shared" si="19"/>
        <v>9702.25</v>
      </c>
      <c r="R388" s="139">
        <v>44423</v>
      </c>
      <c r="S388" s="139">
        <f t="shared" si="20"/>
        <v>6368481.2800000003</v>
      </c>
      <c r="U388" s="139" t="s">
        <v>420</v>
      </c>
    </row>
    <row r="389" spans="1:21" x14ac:dyDescent="0.2">
      <c r="A389" s="139" t="s">
        <v>695</v>
      </c>
      <c r="C389" s="139" t="s">
        <v>240</v>
      </c>
      <c r="D389" s="139">
        <v>53215</v>
      </c>
      <c r="E389" s="139">
        <v>50460</v>
      </c>
      <c r="F389" s="139">
        <v>40734</v>
      </c>
      <c r="G389" s="139">
        <v>38508</v>
      </c>
      <c r="H389" s="139">
        <v>44816</v>
      </c>
      <c r="I389" s="139">
        <v>44802</v>
      </c>
      <c r="J389" s="139">
        <v>50180</v>
      </c>
      <c r="K389" s="139">
        <v>58652</v>
      </c>
      <c r="L389" s="139">
        <v>33211</v>
      </c>
      <c r="M389" s="139">
        <v>37792</v>
      </c>
      <c r="N389" s="139">
        <v>36542000</v>
      </c>
      <c r="O389" s="139">
        <v>25666000</v>
      </c>
      <c r="P389" s="139">
        <f t="shared" si="18"/>
        <v>43826.75</v>
      </c>
      <c r="Q389" s="139">
        <f t="shared" si="19"/>
        <v>39859</v>
      </c>
      <c r="R389" s="139">
        <v>125525</v>
      </c>
      <c r="S389" s="139">
        <f t="shared" si="20"/>
        <v>17995264</v>
      </c>
      <c r="U389" s="139" t="s">
        <v>240</v>
      </c>
    </row>
    <row r="390" spans="1:21" x14ac:dyDescent="0.2">
      <c r="C390" s="139" t="s">
        <v>545</v>
      </c>
      <c r="D390" s="139">
        <f t="shared" ref="D390:R390" si="21">SUM(D2:D389)</f>
        <v>7171188</v>
      </c>
      <c r="E390" s="139">
        <f t="shared" si="21"/>
        <v>7894402.9317559535</v>
      </c>
      <c r="F390" s="139">
        <f t="shared" si="21"/>
        <v>6991979.9999999991</v>
      </c>
      <c r="G390" s="139">
        <f t="shared" si="21"/>
        <v>7895087</v>
      </c>
      <c r="H390" s="139">
        <f t="shared" si="21"/>
        <v>6248135</v>
      </c>
      <c r="I390" s="139">
        <f t="shared" si="21"/>
        <v>7354979</v>
      </c>
      <c r="J390" s="139">
        <f t="shared" si="21"/>
        <v>5555223.3649303764</v>
      </c>
      <c r="K390" s="139">
        <f t="shared" si="21"/>
        <v>5781548.1374935536</v>
      </c>
      <c r="L390" s="139">
        <f t="shared" si="21"/>
        <v>5429693.0000000009</v>
      </c>
      <c r="M390" s="139">
        <f t="shared" si="21"/>
        <v>5847120</v>
      </c>
      <c r="N390" s="139">
        <f t="shared" si="21"/>
        <v>6065252612</v>
      </c>
      <c r="O390" s="139">
        <f t="shared" si="21"/>
        <v>5596379040</v>
      </c>
      <c r="P390" s="139">
        <f t="shared" si="21"/>
        <v>6619138.9030000009</v>
      </c>
      <c r="Q390" s="139">
        <f t="shared" si="21"/>
        <v>7185211.9929389879</v>
      </c>
      <c r="R390" s="139">
        <f t="shared" si="21"/>
        <v>17089690</v>
      </c>
      <c r="S390" s="139">
        <f t="shared" si="20"/>
        <v>2449977958.4000001</v>
      </c>
    </row>
    <row r="391" spans="1:21" ht="10.15" customHeight="1" x14ac:dyDescent="0.2">
      <c r="C391" s="139" t="s">
        <v>703</v>
      </c>
      <c r="D391" s="139">
        <f t="shared" ref="D391:S391" si="22">SUMIF($A$2:$A$389,"GR",D2:D389)</f>
        <v>93521</v>
      </c>
      <c r="E391" s="139">
        <f t="shared" si="22"/>
        <v>150862</v>
      </c>
      <c r="F391" s="139">
        <f t="shared" si="22"/>
        <v>56350</v>
      </c>
      <c r="G391" s="139">
        <f t="shared" si="22"/>
        <v>80885</v>
      </c>
      <c r="H391" s="139">
        <f t="shared" si="22"/>
        <v>104042</v>
      </c>
      <c r="I391" s="139">
        <f t="shared" si="22"/>
        <v>125793</v>
      </c>
      <c r="J391" s="139">
        <f t="shared" si="22"/>
        <v>47713</v>
      </c>
      <c r="K391" s="139">
        <f t="shared" si="22"/>
        <v>75301</v>
      </c>
      <c r="L391" s="139">
        <f t="shared" si="22"/>
        <v>102799</v>
      </c>
      <c r="M391" s="139">
        <f t="shared" si="22"/>
        <v>74006</v>
      </c>
      <c r="N391" s="139">
        <f t="shared" si="22"/>
        <v>76810000</v>
      </c>
      <c r="O391" s="139">
        <f t="shared" si="22"/>
        <v>59445000</v>
      </c>
      <c r="P391" s="139">
        <f t="shared" si="22"/>
        <v>82680.75</v>
      </c>
      <c r="Q391" s="139">
        <f t="shared" si="22"/>
        <v>104246.25</v>
      </c>
      <c r="R391" s="139">
        <f t="shared" si="22"/>
        <v>583585</v>
      </c>
      <c r="S391" s="139">
        <f t="shared" si="22"/>
        <v>83662745.600000024</v>
      </c>
    </row>
    <row r="392" spans="1:21" x14ac:dyDescent="0.2">
      <c r="C392" s="139" t="s">
        <v>598</v>
      </c>
      <c r="D392" s="139">
        <f t="shared" ref="D392:S392" si="23">SUMIF($A$2:$A$389,"FR",D2:D389)</f>
        <v>131017</v>
      </c>
      <c r="E392" s="139">
        <f t="shared" si="23"/>
        <v>144331.9317559539</v>
      </c>
      <c r="F392" s="139">
        <f t="shared" si="23"/>
        <v>153854</v>
      </c>
      <c r="G392" s="139">
        <f t="shared" si="23"/>
        <v>257869</v>
      </c>
      <c r="H392" s="139">
        <f t="shared" si="23"/>
        <v>147031</v>
      </c>
      <c r="I392" s="139">
        <f t="shared" si="23"/>
        <v>164178</v>
      </c>
      <c r="J392" s="139">
        <f t="shared" si="23"/>
        <v>62425.364930376483</v>
      </c>
      <c r="K392" s="139">
        <f t="shared" si="23"/>
        <v>83013.137493553382</v>
      </c>
      <c r="L392" s="139">
        <f t="shared" si="23"/>
        <v>54530</v>
      </c>
      <c r="M392" s="139">
        <f t="shared" si="23"/>
        <v>73738</v>
      </c>
      <c r="N392" s="139">
        <f t="shared" si="23"/>
        <v>99379000</v>
      </c>
      <c r="O392" s="139">
        <f t="shared" si="23"/>
        <v>112209000</v>
      </c>
      <c r="P392" s="139">
        <f t="shared" si="23"/>
        <v>132820.25</v>
      </c>
      <c r="Q392" s="139">
        <f t="shared" si="23"/>
        <v>169646.98293898851</v>
      </c>
      <c r="R392" s="139">
        <f t="shared" si="23"/>
        <v>646926</v>
      </c>
      <c r="S392" s="139">
        <f t="shared" si="23"/>
        <v>92743311.359999999</v>
      </c>
    </row>
    <row r="393" spans="1:21" x14ac:dyDescent="0.2">
      <c r="C393" s="139" t="s">
        <v>704</v>
      </c>
      <c r="D393" s="139">
        <f t="shared" ref="D393:S393" si="24">SUMIF($A$2:$A$389,"DR",D2:D389)</f>
        <v>140299</v>
      </c>
      <c r="E393" s="139">
        <f t="shared" si="24"/>
        <v>164517</v>
      </c>
      <c r="F393" s="139">
        <f t="shared" si="24"/>
        <v>137287</v>
      </c>
      <c r="G393" s="139">
        <f t="shared" si="24"/>
        <v>179563</v>
      </c>
      <c r="H393" s="139">
        <f t="shared" si="24"/>
        <v>103889</v>
      </c>
      <c r="I393" s="139">
        <f t="shared" si="24"/>
        <v>146044</v>
      </c>
      <c r="J393" s="139">
        <f t="shared" si="24"/>
        <v>100591</v>
      </c>
      <c r="K393" s="139">
        <f t="shared" si="24"/>
        <v>143505</v>
      </c>
      <c r="L393" s="139">
        <f t="shared" si="24"/>
        <v>111838</v>
      </c>
      <c r="M393" s="139">
        <f t="shared" si="24"/>
        <v>134431</v>
      </c>
      <c r="N393" s="139">
        <f t="shared" si="24"/>
        <v>193412000</v>
      </c>
      <c r="O393" s="139">
        <f t="shared" si="24"/>
        <v>182995000</v>
      </c>
      <c r="P393" s="139">
        <f t="shared" si="24"/>
        <v>143721.75</v>
      </c>
      <c r="Q393" s="139">
        <f t="shared" si="24"/>
        <v>168279.75</v>
      </c>
      <c r="R393" s="139">
        <f t="shared" si="24"/>
        <v>477490</v>
      </c>
      <c r="S393" s="139">
        <f t="shared" si="24"/>
        <v>68452966.400000006</v>
      </c>
    </row>
    <row r="394" spans="1:21" x14ac:dyDescent="0.2">
      <c r="C394" s="139" t="s">
        <v>705</v>
      </c>
      <c r="D394" s="139">
        <f t="shared" ref="D394:S394" si="25">SUMIF($A$2:$A$389,"OV",D2:D389)</f>
        <v>395690</v>
      </c>
      <c r="E394" s="139">
        <f t="shared" si="25"/>
        <v>449433</v>
      </c>
      <c r="F394" s="139">
        <f t="shared" si="25"/>
        <v>408733</v>
      </c>
      <c r="G394" s="139">
        <f t="shared" si="25"/>
        <v>560110</v>
      </c>
      <c r="H394" s="139">
        <f t="shared" si="25"/>
        <v>433360</v>
      </c>
      <c r="I394" s="139">
        <f t="shared" si="25"/>
        <v>536783</v>
      </c>
      <c r="J394" s="139">
        <f t="shared" si="25"/>
        <v>360888</v>
      </c>
      <c r="K394" s="139">
        <f t="shared" si="25"/>
        <v>419537</v>
      </c>
      <c r="L394" s="139">
        <f t="shared" si="25"/>
        <v>400266</v>
      </c>
      <c r="M394" s="139">
        <f t="shared" si="25"/>
        <v>505051</v>
      </c>
      <c r="N394" s="139">
        <f t="shared" si="25"/>
        <v>406983000</v>
      </c>
      <c r="O394" s="139">
        <f t="shared" si="25"/>
        <v>416473000</v>
      </c>
      <c r="P394" s="139">
        <f t="shared" si="25"/>
        <v>411191.5</v>
      </c>
      <c r="Q394" s="139">
        <f t="shared" si="25"/>
        <v>490699.75</v>
      </c>
      <c r="R394" s="139">
        <f t="shared" si="25"/>
        <v>1159729</v>
      </c>
      <c r="S394" s="139">
        <f t="shared" si="25"/>
        <v>166258749.44</v>
      </c>
    </row>
    <row r="395" spans="1:21" x14ac:dyDescent="0.2">
      <c r="C395" s="139" t="s">
        <v>706</v>
      </c>
      <c r="D395" s="139">
        <f t="shared" ref="D395:S395" si="26">SUMIF($A$2:$A$389,"FL",D2:D389)</f>
        <v>179901</v>
      </c>
      <c r="E395" s="139">
        <f t="shared" si="26"/>
        <v>186358</v>
      </c>
      <c r="F395" s="139">
        <f t="shared" si="26"/>
        <v>234853</v>
      </c>
      <c r="G395" s="139">
        <f t="shared" si="26"/>
        <v>211827</v>
      </c>
      <c r="H395" s="139">
        <f t="shared" si="26"/>
        <v>191819</v>
      </c>
      <c r="I395" s="139">
        <f t="shared" si="26"/>
        <v>237114</v>
      </c>
      <c r="J395" s="139">
        <f t="shared" si="26"/>
        <v>162450</v>
      </c>
      <c r="K395" s="139">
        <f t="shared" si="26"/>
        <v>175925</v>
      </c>
      <c r="L395" s="139">
        <f t="shared" si="26"/>
        <v>140907</v>
      </c>
      <c r="M395" s="139">
        <f t="shared" si="26"/>
        <v>219343</v>
      </c>
      <c r="N395" s="139">
        <f t="shared" si="26"/>
        <v>200130000</v>
      </c>
      <c r="O395" s="139">
        <f t="shared" si="26"/>
        <v>221071000</v>
      </c>
      <c r="P395" s="139">
        <f t="shared" si="26"/>
        <v>201675.75</v>
      </c>
      <c r="Q395" s="139">
        <f t="shared" si="26"/>
        <v>214092.5</v>
      </c>
      <c r="R395" s="139">
        <f t="shared" si="26"/>
        <v>407905</v>
      </c>
      <c r="S395" s="139">
        <f t="shared" si="26"/>
        <v>58477260.800000012</v>
      </c>
    </row>
    <row r="396" spans="1:21" x14ac:dyDescent="0.2">
      <c r="C396" s="139" t="s">
        <v>707</v>
      </c>
      <c r="D396" s="139">
        <f t="shared" ref="D396:S396" si="27">SUMIF($A$2:$A$389,"GLD",D2:D389)</f>
        <v>1077954</v>
      </c>
      <c r="E396" s="139">
        <f t="shared" si="27"/>
        <v>1279576</v>
      </c>
      <c r="F396" s="139">
        <f t="shared" si="27"/>
        <v>899759</v>
      </c>
      <c r="G396" s="139">
        <f t="shared" si="27"/>
        <v>1205613</v>
      </c>
      <c r="H396" s="139">
        <f t="shared" si="27"/>
        <v>748249</v>
      </c>
      <c r="I396" s="139">
        <f t="shared" si="27"/>
        <v>910537</v>
      </c>
      <c r="J396" s="139">
        <f t="shared" si="27"/>
        <v>722977</v>
      </c>
      <c r="K396" s="139">
        <f t="shared" si="27"/>
        <v>813159</v>
      </c>
      <c r="L396" s="139">
        <f t="shared" si="27"/>
        <v>811374</v>
      </c>
      <c r="M396" s="139">
        <f t="shared" si="27"/>
        <v>872556</v>
      </c>
      <c r="N396" s="139">
        <f t="shared" si="27"/>
        <v>622708000</v>
      </c>
      <c r="O396" s="139">
        <f t="shared" si="27"/>
        <v>637908000</v>
      </c>
      <c r="P396" s="139">
        <f t="shared" si="27"/>
        <v>837167.5</v>
      </c>
      <c r="Q396" s="139">
        <f t="shared" si="27"/>
        <v>1008408.5</v>
      </c>
      <c r="R396" s="139">
        <f t="shared" si="27"/>
        <v>2050205</v>
      </c>
      <c r="S396" s="139">
        <f t="shared" si="27"/>
        <v>293917388.80000007</v>
      </c>
    </row>
    <row r="397" spans="1:21" x14ac:dyDescent="0.2">
      <c r="C397" s="139" t="s">
        <v>716</v>
      </c>
      <c r="D397" s="139">
        <f t="shared" ref="D397:S397" si="28">SUMIF($A$2:$A$389,"UT",D2:D389)</f>
        <v>686678</v>
      </c>
      <c r="E397" s="139">
        <f t="shared" si="28"/>
        <v>644192</v>
      </c>
      <c r="F397" s="139">
        <f t="shared" si="28"/>
        <v>759647</v>
      </c>
      <c r="G397" s="139">
        <f t="shared" si="28"/>
        <v>831360</v>
      </c>
      <c r="H397" s="139">
        <f t="shared" si="28"/>
        <v>542156</v>
      </c>
      <c r="I397" s="139">
        <f t="shared" si="28"/>
        <v>524095</v>
      </c>
      <c r="J397" s="139">
        <f t="shared" si="28"/>
        <v>474146</v>
      </c>
      <c r="K397" s="139">
        <f t="shared" si="28"/>
        <v>481449</v>
      </c>
      <c r="L397" s="139">
        <f t="shared" si="28"/>
        <v>500263</v>
      </c>
      <c r="M397" s="139">
        <f t="shared" si="28"/>
        <v>483018</v>
      </c>
      <c r="N397" s="139">
        <f t="shared" si="28"/>
        <v>1143115000</v>
      </c>
      <c r="O397" s="139">
        <f t="shared" si="28"/>
        <v>1132467000</v>
      </c>
      <c r="P397" s="139">
        <f t="shared" si="28"/>
        <v>782899</v>
      </c>
      <c r="Q397" s="139">
        <f t="shared" si="28"/>
        <v>783028.5</v>
      </c>
      <c r="R397" s="139">
        <f t="shared" si="28"/>
        <v>1298191</v>
      </c>
      <c r="S397" s="139">
        <f t="shared" si="28"/>
        <v>186108661.76000005</v>
      </c>
    </row>
    <row r="398" spans="1:21" x14ac:dyDescent="0.2">
      <c r="C398" s="139" t="s">
        <v>708</v>
      </c>
      <c r="D398" s="139">
        <f t="shared" ref="D398:S398" si="29">SUMIF($A$2:$A$389,"NH",D2:D389)</f>
        <v>1487898</v>
      </c>
      <c r="E398" s="139">
        <f t="shared" si="29"/>
        <v>1429580</v>
      </c>
      <c r="F398" s="139">
        <f t="shared" si="29"/>
        <v>1439891</v>
      </c>
      <c r="G398" s="139">
        <f t="shared" si="29"/>
        <v>1337622</v>
      </c>
      <c r="H398" s="139">
        <f t="shared" si="29"/>
        <v>1489470</v>
      </c>
      <c r="I398" s="139">
        <f t="shared" si="29"/>
        <v>1689835</v>
      </c>
      <c r="J398" s="139">
        <f t="shared" si="29"/>
        <v>1475052</v>
      </c>
      <c r="K398" s="139">
        <f t="shared" si="29"/>
        <v>1031427</v>
      </c>
      <c r="L398" s="139">
        <f t="shared" si="29"/>
        <v>1499677</v>
      </c>
      <c r="M398" s="139">
        <f t="shared" si="29"/>
        <v>1364807</v>
      </c>
      <c r="N398" s="139">
        <f t="shared" si="29"/>
        <v>1514836897</v>
      </c>
      <c r="O398" s="139">
        <f t="shared" si="29"/>
        <v>1088859451</v>
      </c>
      <c r="P398" s="139">
        <f t="shared" si="29"/>
        <v>1483023.97425</v>
      </c>
      <c r="Q398" s="139">
        <f t="shared" si="29"/>
        <v>1386474.1127500001</v>
      </c>
      <c r="R398" s="139">
        <f t="shared" si="29"/>
        <v>2836179</v>
      </c>
      <c r="S398" s="139">
        <f t="shared" si="29"/>
        <v>406594621.43999982</v>
      </c>
    </row>
    <row r="399" spans="1:21" x14ac:dyDescent="0.2">
      <c r="C399" s="139" t="s">
        <v>709</v>
      </c>
      <c r="D399" s="139">
        <f t="shared" ref="D399:S399" si="30">SUMIF($A$2:$A$389,"ZH",D2:D389)</f>
        <v>1451418</v>
      </c>
      <c r="E399" s="139">
        <f t="shared" si="30"/>
        <v>1776012</v>
      </c>
      <c r="F399" s="139">
        <f t="shared" si="30"/>
        <v>1439002</v>
      </c>
      <c r="G399" s="139">
        <f t="shared" si="30"/>
        <v>1594708</v>
      </c>
      <c r="H399" s="139">
        <f t="shared" si="30"/>
        <v>1322184</v>
      </c>
      <c r="I399" s="139">
        <f t="shared" si="30"/>
        <v>1571728</v>
      </c>
      <c r="J399" s="139">
        <f t="shared" si="30"/>
        <v>1161282</v>
      </c>
      <c r="K399" s="139">
        <f t="shared" si="30"/>
        <v>1387645</v>
      </c>
      <c r="L399" s="139">
        <f t="shared" si="30"/>
        <v>865016</v>
      </c>
      <c r="M399" s="139">
        <f t="shared" si="30"/>
        <v>1000923</v>
      </c>
      <c r="N399" s="139">
        <f t="shared" si="30"/>
        <v>886908545</v>
      </c>
      <c r="O399" s="139">
        <f t="shared" si="30"/>
        <v>818328967</v>
      </c>
      <c r="P399" s="139">
        <f t="shared" si="30"/>
        <v>1274878.13625</v>
      </c>
      <c r="Q399" s="139">
        <f t="shared" si="30"/>
        <v>1440194.24175</v>
      </c>
      <c r="R399" s="139">
        <f t="shared" si="30"/>
        <v>3617019</v>
      </c>
      <c r="S399" s="139">
        <f t="shared" si="30"/>
        <v>518535843.83999997</v>
      </c>
    </row>
    <row r="400" spans="1:21" x14ac:dyDescent="0.2">
      <c r="C400" s="139" t="s">
        <v>710</v>
      </c>
      <c r="D400" s="139">
        <f t="shared" ref="D400:S400" si="31">SUMIF($A$2:$A$389,"ZL",D2:D389)</f>
        <v>106230</v>
      </c>
      <c r="E400" s="139">
        <f t="shared" si="31"/>
        <v>106547</v>
      </c>
      <c r="F400" s="139">
        <f t="shared" si="31"/>
        <v>126698</v>
      </c>
      <c r="G400" s="139">
        <f t="shared" si="31"/>
        <v>131417</v>
      </c>
      <c r="H400" s="139">
        <f t="shared" si="31"/>
        <v>85017</v>
      </c>
      <c r="I400" s="139">
        <f t="shared" si="31"/>
        <v>103647</v>
      </c>
      <c r="J400" s="139">
        <f t="shared" si="31"/>
        <v>66891</v>
      </c>
      <c r="K400" s="139">
        <f t="shared" si="31"/>
        <v>74133</v>
      </c>
      <c r="L400" s="139">
        <f t="shared" si="31"/>
        <v>69450</v>
      </c>
      <c r="M400" s="139">
        <f t="shared" si="31"/>
        <v>82758</v>
      </c>
      <c r="N400" s="139">
        <f t="shared" si="31"/>
        <v>78232495</v>
      </c>
      <c r="O400" s="139">
        <f t="shared" si="31"/>
        <v>159134934</v>
      </c>
      <c r="P400" s="139">
        <f t="shared" si="31"/>
        <v>99044.373749999999</v>
      </c>
      <c r="Q400" s="139">
        <f t="shared" si="31"/>
        <v>125186.4835</v>
      </c>
      <c r="R400" s="139">
        <f t="shared" si="31"/>
        <v>381563</v>
      </c>
      <c r="S400" s="139">
        <f t="shared" si="31"/>
        <v>54700871.680000007</v>
      </c>
    </row>
    <row r="401" spans="1:21" x14ac:dyDescent="0.2">
      <c r="C401" s="139" t="s">
        <v>711</v>
      </c>
      <c r="D401" s="139">
        <f t="shared" ref="D401:S401" si="32">SUMIF($A$2:$A$389,"NB",D2:D389)</f>
        <v>1033576</v>
      </c>
      <c r="E401" s="139">
        <f t="shared" si="32"/>
        <v>1154580</v>
      </c>
      <c r="F401" s="139">
        <f t="shared" si="32"/>
        <v>1023026</v>
      </c>
      <c r="G401" s="139">
        <f t="shared" si="32"/>
        <v>1162644</v>
      </c>
      <c r="H401" s="139">
        <f t="shared" si="32"/>
        <v>695651</v>
      </c>
      <c r="I401" s="139">
        <f t="shared" si="32"/>
        <v>918720</v>
      </c>
      <c r="J401" s="139">
        <f t="shared" si="32"/>
        <v>647428</v>
      </c>
      <c r="K401" s="139">
        <f t="shared" si="32"/>
        <v>807590</v>
      </c>
      <c r="L401" s="139">
        <f t="shared" si="32"/>
        <v>598969</v>
      </c>
      <c r="M401" s="139">
        <f t="shared" si="32"/>
        <v>749566</v>
      </c>
      <c r="N401" s="139">
        <f t="shared" si="32"/>
        <v>645627675</v>
      </c>
      <c r="O401" s="139">
        <f t="shared" si="32"/>
        <v>560275688</v>
      </c>
      <c r="P401" s="139">
        <f t="shared" si="32"/>
        <v>849470.16874999995</v>
      </c>
      <c r="Q401" s="139">
        <f t="shared" si="32"/>
        <v>949054.92200000002</v>
      </c>
      <c r="R401" s="139">
        <f t="shared" si="32"/>
        <v>2480103</v>
      </c>
      <c r="S401" s="139">
        <f t="shared" si="32"/>
        <v>355547566.0799998</v>
      </c>
    </row>
    <row r="402" spans="1:21" x14ac:dyDescent="0.2">
      <c r="C402" s="139" t="s">
        <v>712</v>
      </c>
      <c r="D402" s="139">
        <f t="shared" ref="D402:S402" si="33">SUMIF($A$2:$A$389,"LB",D2:D389)</f>
        <v>387006</v>
      </c>
      <c r="E402" s="139">
        <f t="shared" si="33"/>
        <v>408414</v>
      </c>
      <c r="F402" s="139">
        <f t="shared" si="33"/>
        <v>312880</v>
      </c>
      <c r="G402" s="139">
        <f t="shared" si="33"/>
        <v>341469</v>
      </c>
      <c r="H402" s="139">
        <f t="shared" si="33"/>
        <v>385267</v>
      </c>
      <c r="I402" s="139">
        <f t="shared" si="33"/>
        <v>426505</v>
      </c>
      <c r="J402" s="139">
        <f t="shared" si="33"/>
        <v>273380</v>
      </c>
      <c r="K402" s="139">
        <f t="shared" si="33"/>
        <v>288864</v>
      </c>
      <c r="L402" s="139">
        <f t="shared" si="33"/>
        <v>274604</v>
      </c>
      <c r="M402" s="139">
        <f t="shared" si="33"/>
        <v>286923</v>
      </c>
      <c r="N402" s="139">
        <f t="shared" si="33"/>
        <v>197110000</v>
      </c>
      <c r="O402" s="139">
        <f t="shared" si="33"/>
        <v>207212000</v>
      </c>
      <c r="P402" s="139">
        <f t="shared" si="33"/>
        <v>320565.75</v>
      </c>
      <c r="Q402" s="139">
        <f t="shared" si="33"/>
        <v>345900</v>
      </c>
      <c r="R402" s="139">
        <f t="shared" si="33"/>
        <v>1150795</v>
      </c>
      <c r="S402" s="139">
        <f t="shared" si="33"/>
        <v>164977971.20000002</v>
      </c>
    </row>
    <row r="406" spans="1:21" x14ac:dyDescent="0.2">
      <c r="A406" s="139" t="s">
        <v>685</v>
      </c>
      <c r="B406" s="139" t="s">
        <v>686</v>
      </c>
      <c r="C406" s="139" t="s">
        <v>713</v>
      </c>
      <c r="D406" s="139" t="s">
        <v>599</v>
      </c>
      <c r="E406" s="139" t="s">
        <v>600</v>
      </c>
      <c r="F406" s="139" t="s">
        <v>601</v>
      </c>
      <c r="G406" s="139" t="s">
        <v>602</v>
      </c>
      <c r="H406" s="139" t="s">
        <v>603</v>
      </c>
      <c r="I406" s="139" t="s">
        <v>604</v>
      </c>
      <c r="J406" s="139" t="s">
        <v>605</v>
      </c>
      <c r="K406" s="139" t="s">
        <v>606</v>
      </c>
      <c r="L406" s="139" t="s">
        <v>607</v>
      </c>
      <c r="M406" s="139" t="s">
        <v>608</v>
      </c>
      <c r="N406" s="139" t="s">
        <v>800</v>
      </c>
      <c r="O406" s="139" t="s">
        <v>801</v>
      </c>
      <c r="P406" s="139" t="s">
        <v>717</v>
      </c>
      <c r="Q406" s="139" t="s">
        <v>718</v>
      </c>
      <c r="R406" s="139" t="s">
        <v>844</v>
      </c>
      <c r="S406" s="139" t="s">
        <v>719</v>
      </c>
      <c r="U406" s="139" t="s">
        <v>713</v>
      </c>
    </row>
    <row r="407" spans="1:21" x14ac:dyDescent="0.2">
      <c r="A407" s="139" t="s">
        <v>690</v>
      </c>
      <c r="C407" s="139" t="s">
        <v>479</v>
      </c>
      <c r="D407" s="139">
        <v>2947</v>
      </c>
      <c r="E407" s="139">
        <v>3230</v>
      </c>
      <c r="F407" s="139">
        <v>2318</v>
      </c>
      <c r="G407" s="139">
        <v>2506</v>
      </c>
      <c r="H407" s="139">
        <v>3490</v>
      </c>
      <c r="I407" s="139">
        <v>3730</v>
      </c>
      <c r="J407" s="139">
        <v>4529</v>
      </c>
      <c r="K407" s="139">
        <v>5753</v>
      </c>
      <c r="L407" s="139">
        <v>4162</v>
      </c>
      <c r="M407" s="139">
        <v>4241</v>
      </c>
      <c r="N407" s="139">
        <v>8880000</v>
      </c>
      <c r="O407" s="139">
        <v>5142000</v>
      </c>
      <c r="P407" s="139">
        <f t="shared" ref="P407:P411" si="34">SUM(D407,F407,H407,N407/1000)/4</f>
        <v>4408.75</v>
      </c>
      <c r="Q407" s="139">
        <f t="shared" ref="Q407:Q411" si="35">SUM(E407,G407,I407,O407/1000)/4</f>
        <v>3652</v>
      </c>
      <c r="R407" s="139">
        <v>23624</v>
      </c>
      <c r="S407" s="139">
        <f t="shared" ref="S407:S411" si="36">R407*138.66</f>
        <v>3275703.84</v>
      </c>
      <c r="U407" s="139" t="s">
        <v>479</v>
      </c>
    </row>
    <row r="408" spans="1:21" x14ac:dyDescent="0.2">
      <c r="A408" s="139" t="s">
        <v>690</v>
      </c>
      <c r="C408" s="139" t="s">
        <v>481</v>
      </c>
      <c r="D408" s="139">
        <v>5505</v>
      </c>
      <c r="E408" s="139">
        <v>4386</v>
      </c>
      <c r="F408" s="139">
        <v>5717</v>
      </c>
      <c r="G408" s="139">
        <v>5991</v>
      </c>
      <c r="H408" s="139">
        <v>6208</v>
      </c>
      <c r="I408" s="139">
        <v>5409</v>
      </c>
      <c r="J408" s="139">
        <v>3240</v>
      </c>
      <c r="K408" s="139">
        <v>3764</v>
      </c>
      <c r="L408" s="139">
        <v>4987</v>
      </c>
      <c r="M408" s="139">
        <v>3844</v>
      </c>
      <c r="N408" s="139">
        <v>912000</v>
      </c>
      <c r="O408" s="139">
        <v>1569000</v>
      </c>
      <c r="P408" s="139">
        <f t="shared" si="34"/>
        <v>4585.5</v>
      </c>
      <c r="Q408" s="139">
        <f t="shared" si="35"/>
        <v>4338.75</v>
      </c>
      <c r="R408" s="139">
        <v>17907</v>
      </c>
      <c r="S408" s="139">
        <f t="shared" si="36"/>
        <v>2482984.62</v>
      </c>
      <c r="U408" s="139" t="s">
        <v>481</v>
      </c>
    </row>
    <row r="409" spans="1:21" x14ac:dyDescent="0.2">
      <c r="A409" s="139" t="s">
        <v>690</v>
      </c>
      <c r="C409" s="139" t="s">
        <v>488</v>
      </c>
      <c r="D409" s="139">
        <v>32109</v>
      </c>
      <c r="E409" s="139">
        <v>32288</v>
      </c>
      <c r="F409" s="139">
        <v>22540</v>
      </c>
      <c r="G409" s="139">
        <v>22781</v>
      </c>
      <c r="H409" s="139">
        <v>7361</v>
      </c>
      <c r="I409" s="139">
        <v>17391</v>
      </c>
      <c r="J409" s="139">
        <v>30633</v>
      </c>
      <c r="K409" s="139">
        <v>29346</v>
      </c>
      <c r="L409" s="139">
        <v>9529</v>
      </c>
      <c r="M409" s="139">
        <v>47537</v>
      </c>
      <c r="N409" s="139">
        <v>8588000</v>
      </c>
      <c r="O409" s="139">
        <v>9737000</v>
      </c>
      <c r="P409" s="139">
        <f t="shared" si="34"/>
        <v>17649.5</v>
      </c>
      <c r="Q409" s="139">
        <f t="shared" si="35"/>
        <v>20549.25</v>
      </c>
      <c r="R409" s="139">
        <v>38304</v>
      </c>
      <c r="S409" s="139">
        <f t="shared" si="36"/>
        <v>5311232.6399999997</v>
      </c>
      <c r="U409" s="139" t="s">
        <v>488</v>
      </c>
    </row>
    <row r="410" spans="1:21" x14ac:dyDescent="0.2">
      <c r="A410" s="139" t="s">
        <v>690</v>
      </c>
      <c r="C410" s="139" t="s">
        <v>876</v>
      </c>
      <c r="D410" s="139">
        <f>SUM(D407:D409)</f>
        <v>40561</v>
      </c>
      <c r="E410" s="139">
        <f t="shared" ref="E410:O410" si="37">SUM(E407:E409)</f>
        <v>39904</v>
      </c>
      <c r="F410" s="139">
        <f t="shared" si="37"/>
        <v>30575</v>
      </c>
      <c r="G410" s="139">
        <f t="shared" si="37"/>
        <v>31278</v>
      </c>
      <c r="H410" s="139">
        <f t="shared" si="37"/>
        <v>17059</v>
      </c>
      <c r="I410" s="139">
        <f t="shared" si="37"/>
        <v>26530</v>
      </c>
      <c r="J410" s="139">
        <f t="shared" si="37"/>
        <v>38402</v>
      </c>
      <c r="K410" s="139">
        <f t="shared" si="37"/>
        <v>38863</v>
      </c>
      <c r="L410" s="139">
        <f t="shared" si="37"/>
        <v>18678</v>
      </c>
      <c r="M410" s="139">
        <f t="shared" si="37"/>
        <v>55622</v>
      </c>
      <c r="N410" s="139">
        <f t="shared" si="37"/>
        <v>18380000</v>
      </c>
      <c r="O410" s="139">
        <f t="shared" si="37"/>
        <v>16448000</v>
      </c>
      <c r="P410" s="139">
        <f t="shared" si="34"/>
        <v>26643.75</v>
      </c>
      <c r="Q410" s="139">
        <f t="shared" si="35"/>
        <v>28540</v>
      </c>
      <c r="R410" s="139">
        <v>79835</v>
      </c>
      <c r="S410" s="139">
        <f t="shared" si="36"/>
        <v>11069921.1</v>
      </c>
      <c r="U410" s="139" t="s">
        <v>876</v>
      </c>
    </row>
    <row r="411" spans="1:21" x14ac:dyDescent="0.2">
      <c r="A411" s="139" t="s">
        <v>690</v>
      </c>
      <c r="C411" s="139" t="s">
        <v>876</v>
      </c>
      <c r="D411" s="139">
        <v>40561</v>
      </c>
      <c r="E411" s="139">
        <v>39904</v>
      </c>
      <c r="F411" s="139">
        <v>30575</v>
      </c>
      <c r="G411" s="139">
        <v>31278</v>
      </c>
      <c r="H411" s="139">
        <v>17059</v>
      </c>
      <c r="I411" s="139">
        <v>26530</v>
      </c>
      <c r="J411" s="139">
        <v>38402</v>
      </c>
      <c r="K411" s="139">
        <v>38863</v>
      </c>
      <c r="L411" s="139">
        <v>18678</v>
      </c>
      <c r="M411" s="139">
        <v>55622</v>
      </c>
      <c r="N411" s="139">
        <v>18380000</v>
      </c>
      <c r="O411" s="139">
        <v>16448000</v>
      </c>
      <c r="P411" s="139">
        <f t="shared" si="34"/>
        <v>26643.75</v>
      </c>
      <c r="Q411" s="139">
        <f t="shared" si="35"/>
        <v>28540</v>
      </c>
      <c r="R411" s="139">
        <v>79835</v>
      </c>
      <c r="S411" s="139">
        <f t="shared" si="36"/>
        <v>11069921.1</v>
      </c>
      <c r="U411" s="139" t="s">
        <v>876</v>
      </c>
    </row>
  </sheetData>
  <sheetProtection algorithmName="SHA-512" hashValue="vUKNhuqCrbwKKSsQRtpxG5n4zYKdmSPufaFIkgHseQWoFmGtIyU02nkkKfNQDDylcENEVBEkr4zDu6nVmddUhA==" saltValue="o7uVB6wYBS/RwClQyj9f+g==" spinCount="100000" sheet="1" objects="1" scenarios="1" selectLockedCells="1" selectUnlockedCells="1"/>
  <pageMargins left="0.7" right="0.7" top="0.75" bottom="0.75" header="0.3" footer="0.3"/>
  <pageSetup paperSize="9" orientation="portrait"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11"/>
  <sheetViews>
    <sheetView topLeftCell="D1" workbookViewId="0">
      <selection activeCell="J394" sqref="J394:J402"/>
    </sheetView>
  </sheetViews>
  <sheetFormatPr defaultRowHeight="12.75" x14ac:dyDescent="0.2"/>
  <cols>
    <col min="1" max="1" width="10.7109375" bestFit="1" customWidth="1"/>
    <col min="2" max="2" width="14.140625" bestFit="1" customWidth="1"/>
    <col min="3" max="3" width="29.28515625" bestFit="1" customWidth="1"/>
    <col min="4" max="4" width="18.7109375" bestFit="1" customWidth="1"/>
    <col min="5" max="5" width="21.5703125" bestFit="1" customWidth="1"/>
    <col min="6" max="6" width="21.7109375" bestFit="1" customWidth="1"/>
    <col min="7" max="7" width="25" bestFit="1" customWidth="1"/>
    <col min="8" max="8" width="23.42578125" bestFit="1" customWidth="1"/>
    <col min="9" max="9" width="12.7109375" bestFit="1" customWidth="1"/>
    <col min="10" max="10" width="40.7109375" bestFit="1" customWidth="1"/>
    <col min="11" max="11" width="40.140625" bestFit="1" customWidth="1"/>
    <col min="12" max="12" width="23.140625" bestFit="1" customWidth="1"/>
    <col min="13" max="13" width="25.5703125" bestFit="1" customWidth="1"/>
    <col min="14" max="14" width="25.140625" bestFit="1" customWidth="1"/>
    <col min="15" max="15" width="21.7109375" bestFit="1" customWidth="1"/>
    <col min="16" max="16" width="25.7109375" bestFit="1" customWidth="1"/>
    <col min="17" max="17" width="24.28515625" bestFit="1" customWidth="1"/>
    <col min="18" max="18" width="24.7109375" bestFit="1" customWidth="1"/>
    <col min="19" max="19" width="44.85546875" bestFit="1" customWidth="1"/>
    <col min="20" max="20" width="33.42578125" bestFit="1" customWidth="1"/>
    <col min="21" max="21" width="43.28515625" bestFit="1" customWidth="1"/>
    <col min="22" max="22" width="28" bestFit="1" customWidth="1"/>
    <col min="23" max="23" width="25.85546875" bestFit="1" customWidth="1"/>
    <col min="24" max="24" width="34.42578125" bestFit="1" customWidth="1"/>
    <col min="25" max="25" width="20.42578125" bestFit="1" customWidth="1"/>
    <col min="26" max="26" width="36.140625" style="195" bestFit="1" customWidth="1"/>
    <col min="27" max="27" width="34.5703125" style="195" bestFit="1" customWidth="1"/>
    <col min="28" max="28" width="35.28515625" style="195" bestFit="1" customWidth="1"/>
    <col min="29" max="29" width="34" style="195" bestFit="1" customWidth="1"/>
    <col min="30" max="30" width="28.85546875" bestFit="1" customWidth="1"/>
    <col min="31" max="31" width="16.28515625" bestFit="1" customWidth="1"/>
    <col min="32" max="32" width="15" bestFit="1" customWidth="1"/>
  </cols>
  <sheetData>
    <row r="1" spans="1:30" ht="13.15" x14ac:dyDescent="0.25">
      <c r="A1" t="s">
        <v>685</v>
      </c>
      <c r="B1" t="s">
        <v>686</v>
      </c>
      <c r="C1" s="139" t="s">
        <v>713</v>
      </c>
      <c r="D1" t="s">
        <v>614</v>
      </c>
      <c r="E1" t="s">
        <v>714</v>
      </c>
      <c r="F1" t="s">
        <v>715</v>
      </c>
      <c r="G1" t="s">
        <v>893</v>
      </c>
      <c r="H1" t="s">
        <v>688</v>
      </c>
      <c r="I1" t="s">
        <v>894</v>
      </c>
      <c r="J1" t="s">
        <v>895</v>
      </c>
      <c r="K1" t="s">
        <v>896</v>
      </c>
      <c r="L1" t="s">
        <v>897</v>
      </c>
      <c r="M1" t="s">
        <v>898</v>
      </c>
      <c r="N1" t="s">
        <v>899</v>
      </c>
      <c r="O1" t="s">
        <v>900</v>
      </c>
      <c r="P1" t="s">
        <v>901</v>
      </c>
      <c r="Q1" t="s">
        <v>902</v>
      </c>
      <c r="R1" t="s">
        <v>903</v>
      </c>
      <c r="S1" t="s">
        <v>904</v>
      </c>
      <c r="T1" t="s">
        <v>905</v>
      </c>
      <c r="U1" t="s">
        <v>906</v>
      </c>
      <c r="V1" t="s">
        <v>907</v>
      </c>
      <c r="W1" t="s">
        <v>908</v>
      </c>
      <c r="X1" t="s">
        <v>909</v>
      </c>
      <c r="Y1" t="s">
        <v>910</v>
      </c>
      <c r="Z1" s="195" t="s">
        <v>911</v>
      </c>
      <c r="AA1" s="195" t="s">
        <v>912</v>
      </c>
      <c r="AB1" s="195" t="s">
        <v>913</v>
      </c>
      <c r="AC1" s="195" t="s">
        <v>914</v>
      </c>
      <c r="AD1" s="139" t="s">
        <v>112</v>
      </c>
    </row>
    <row r="2" spans="1:30" ht="13.15" x14ac:dyDescent="0.25">
      <c r="A2" t="s">
        <v>689</v>
      </c>
      <c r="B2" s="194"/>
      <c r="C2" s="139" t="s">
        <v>161</v>
      </c>
      <c r="D2" s="194">
        <v>20423582.133421734</v>
      </c>
      <c r="E2" s="194">
        <v>1986040</v>
      </c>
      <c r="F2" s="195">
        <v>11271367</v>
      </c>
      <c r="G2" s="195">
        <v>385036.7</v>
      </c>
      <c r="H2" s="195">
        <v>4625206</v>
      </c>
      <c r="I2" s="195">
        <v>3667021.341714852</v>
      </c>
      <c r="J2" s="195">
        <v>372</v>
      </c>
      <c r="K2" s="195">
        <v>3533</v>
      </c>
      <c r="L2" s="195">
        <v>0</v>
      </c>
      <c r="M2" s="195">
        <v>1163</v>
      </c>
      <c r="N2" s="195">
        <v>0</v>
      </c>
      <c r="O2" s="195">
        <v>0</v>
      </c>
      <c r="P2" s="195">
        <v>138</v>
      </c>
      <c r="Q2">
        <v>0</v>
      </c>
      <c r="R2">
        <v>0</v>
      </c>
      <c r="S2">
        <v>0</v>
      </c>
      <c r="T2">
        <v>2332</v>
      </c>
      <c r="U2">
        <v>2120</v>
      </c>
      <c r="V2">
        <v>130</v>
      </c>
      <c r="W2">
        <v>470</v>
      </c>
      <c r="X2">
        <v>449</v>
      </c>
      <c r="Y2">
        <v>12</v>
      </c>
      <c r="Z2" s="195">
        <v>55959000</v>
      </c>
      <c r="AA2" s="195">
        <v>57862000</v>
      </c>
      <c r="AD2" s="139" t="s">
        <v>161</v>
      </c>
    </row>
    <row r="3" spans="1:30" ht="13.15" x14ac:dyDescent="0.25">
      <c r="A3" t="s">
        <v>690</v>
      </c>
      <c r="B3" s="194"/>
      <c r="C3" s="139" t="s">
        <v>434</v>
      </c>
      <c r="D3" s="194">
        <v>8924565.0510358065</v>
      </c>
      <c r="E3" s="194">
        <v>801195</v>
      </c>
      <c r="F3" s="195">
        <v>4818787</v>
      </c>
      <c r="G3" s="195">
        <v>154300.78</v>
      </c>
      <c r="H3" s="195">
        <v>1281025</v>
      </c>
      <c r="I3" s="195">
        <v>1066862.3369933465</v>
      </c>
      <c r="J3" s="195">
        <v>254</v>
      </c>
      <c r="K3" s="195">
        <v>1877</v>
      </c>
      <c r="L3" s="195">
        <v>0</v>
      </c>
      <c r="M3" s="195">
        <v>0</v>
      </c>
      <c r="N3" s="195">
        <v>0</v>
      </c>
      <c r="O3" s="195">
        <v>0</v>
      </c>
      <c r="P3" s="195">
        <v>0</v>
      </c>
      <c r="Q3">
        <v>0</v>
      </c>
      <c r="R3">
        <v>0</v>
      </c>
      <c r="S3">
        <v>0</v>
      </c>
      <c r="T3">
        <v>982</v>
      </c>
      <c r="U3">
        <v>1078</v>
      </c>
      <c r="V3">
        <v>218</v>
      </c>
      <c r="W3">
        <v>387</v>
      </c>
      <c r="X3">
        <v>210</v>
      </c>
      <c r="Y3">
        <v>15</v>
      </c>
      <c r="Z3" s="195">
        <v>22251000</v>
      </c>
      <c r="AA3" s="195">
        <v>22831000</v>
      </c>
      <c r="AD3" s="139" t="s">
        <v>434</v>
      </c>
    </row>
    <row r="4" spans="1:30" ht="13.15" x14ac:dyDescent="0.25">
      <c r="A4" t="s">
        <v>691</v>
      </c>
      <c r="B4" s="194"/>
      <c r="C4" s="139" t="s">
        <v>319</v>
      </c>
      <c r="D4" s="194">
        <v>20586558.59923315</v>
      </c>
      <c r="E4" s="194">
        <v>1742627</v>
      </c>
      <c r="F4" s="195">
        <v>7618102</v>
      </c>
      <c r="G4" s="195">
        <v>382364.54000000004</v>
      </c>
      <c r="H4" s="195">
        <v>3604254</v>
      </c>
      <c r="I4" s="195">
        <v>1151292.5426959901</v>
      </c>
      <c r="J4" s="195">
        <v>1457</v>
      </c>
      <c r="K4" s="195">
        <v>6160</v>
      </c>
      <c r="L4" s="195">
        <v>119</v>
      </c>
      <c r="M4" s="195">
        <v>158</v>
      </c>
      <c r="N4" s="195">
        <v>20</v>
      </c>
      <c r="O4" s="195">
        <v>0</v>
      </c>
      <c r="P4" s="195">
        <v>43</v>
      </c>
      <c r="Q4">
        <v>0</v>
      </c>
      <c r="R4">
        <v>1026</v>
      </c>
      <c r="S4">
        <v>48</v>
      </c>
      <c r="T4">
        <v>2789</v>
      </c>
      <c r="U4">
        <v>3426</v>
      </c>
      <c r="V4">
        <v>362</v>
      </c>
      <c r="W4">
        <v>707</v>
      </c>
      <c r="X4">
        <v>513</v>
      </c>
      <c r="Y4">
        <v>20</v>
      </c>
      <c r="Z4" s="195">
        <v>68831000</v>
      </c>
      <c r="AA4" s="195">
        <v>71535000</v>
      </c>
      <c r="AD4" s="139" t="s">
        <v>319</v>
      </c>
    </row>
    <row r="5" spans="1:30" ht="13.15" x14ac:dyDescent="0.25">
      <c r="A5" t="s">
        <v>692</v>
      </c>
      <c r="B5" s="194"/>
      <c r="C5" s="139" t="s">
        <v>241</v>
      </c>
      <c r="D5" s="194">
        <v>20573856.972142242</v>
      </c>
      <c r="E5" s="194">
        <v>2289876</v>
      </c>
      <c r="F5" s="195">
        <v>15459925</v>
      </c>
      <c r="G5" s="195">
        <v>267787.38</v>
      </c>
      <c r="H5" s="195">
        <v>4209170</v>
      </c>
      <c r="I5" s="195">
        <v>7039442.0727614341</v>
      </c>
      <c r="J5" s="195">
        <v>531</v>
      </c>
      <c r="K5" s="195">
        <v>3659</v>
      </c>
      <c r="L5" s="195">
        <v>160</v>
      </c>
      <c r="M5" s="195">
        <v>74</v>
      </c>
      <c r="N5" s="195">
        <v>41</v>
      </c>
      <c r="O5" s="195">
        <v>0</v>
      </c>
      <c r="P5" s="195">
        <v>80</v>
      </c>
      <c r="Q5">
        <v>0</v>
      </c>
      <c r="R5">
        <v>0</v>
      </c>
      <c r="S5">
        <v>0</v>
      </c>
      <c r="T5">
        <v>1668</v>
      </c>
      <c r="U5">
        <v>1399</v>
      </c>
      <c r="V5">
        <v>209</v>
      </c>
      <c r="W5">
        <v>263</v>
      </c>
      <c r="X5">
        <v>469</v>
      </c>
      <c r="Y5">
        <v>20</v>
      </c>
      <c r="Z5" s="195">
        <v>58540000</v>
      </c>
      <c r="AA5" s="195">
        <v>59592000</v>
      </c>
      <c r="AD5" s="139" t="s">
        <v>241</v>
      </c>
    </row>
    <row r="6" spans="1:30" ht="13.15" x14ac:dyDescent="0.25">
      <c r="A6" t="s">
        <v>693</v>
      </c>
      <c r="B6" s="194"/>
      <c r="C6" s="139" t="s">
        <v>197</v>
      </c>
      <c r="D6" s="194">
        <v>22762048.692804806</v>
      </c>
      <c r="E6" s="194">
        <v>2321054</v>
      </c>
      <c r="F6" s="195">
        <v>17448890</v>
      </c>
      <c r="G6" s="195">
        <v>1005684.9500000001</v>
      </c>
      <c r="H6" s="195">
        <v>10120226</v>
      </c>
      <c r="I6" s="195">
        <v>6258877.6710395729</v>
      </c>
      <c r="J6" s="195">
        <v>685</v>
      </c>
      <c r="K6" s="195">
        <v>4338</v>
      </c>
      <c r="L6" s="195">
        <v>0</v>
      </c>
      <c r="M6" s="195">
        <v>0</v>
      </c>
      <c r="N6" s="195">
        <v>45</v>
      </c>
      <c r="O6" s="195">
        <v>0</v>
      </c>
      <c r="P6" s="195">
        <v>5</v>
      </c>
      <c r="Q6">
        <v>0</v>
      </c>
      <c r="R6">
        <v>169</v>
      </c>
      <c r="S6">
        <v>0</v>
      </c>
      <c r="T6">
        <v>2519</v>
      </c>
      <c r="U6">
        <v>3033</v>
      </c>
      <c r="V6">
        <v>0</v>
      </c>
      <c r="W6">
        <v>491</v>
      </c>
      <c r="X6">
        <v>388</v>
      </c>
      <c r="Y6">
        <v>6</v>
      </c>
      <c r="Z6" s="195">
        <v>73439000</v>
      </c>
      <c r="AA6" s="195">
        <v>75120000</v>
      </c>
      <c r="AD6" s="139" t="s">
        <v>197</v>
      </c>
    </row>
    <row r="7" spans="1:30" ht="13.15" x14ac:dyDescent="0.25">
      <c r="A7" t="s">
        <v>694</v>
      </c>
      <c r="B7" s="194"/>
      <c r="C7" s="139" t="s">
        <v>364</v>
      </c>
      <c r="D7" s="194">
        <v>14523564.311107773</v>
      </c>
      <c r="E7" s="194">
        <v>1510112</v>
      </c>
      <c r="F7" s="195">
        <v>8255249</v>
      </c>
      <c r="G7" s="195">
        <v>337826.74</v>
      </c>
      <c r="H7" s="195">
        <v>4068928</v>
      </c>
      <c r="I7" s="195">
        <v>1829112.7531330567</v>
      </c>
      <c r="J7" s="195">
        <v>868</v>
      </c>
      <c r="K7" s="195">
        <v>3387</v>
      </c>
      <c r="L7" s="195">
        <v>86</v>
      </c>
      <c r="M7" s="195">
        <v>32</v>
      </c>
      <c r="N7" s="195">
        <v>0</v>
      </c>
      <c r="O7" s="195">
        <v>0</v>
      </c>
      <c r="P7" s="195">
        <v>0</v>
      </c>
      <c r="Q7">
        <v>0</v>
      </c>
      <c r="R7">
        <v>607</v>
      </c>
      <c r="S7">
        <v>0</v>
      </c>
      <c r="T7">
        <v>1836</v>
      </c>
      <c r="U7">
        <v>2422</v>
      </c>
      <c r="V7">
        <v>509</v>
      </c>
      <c r="W7">
        <v>491</v>
      </c>
      <c r="X7">
        <v>245</v>
      </c>
      <c r="Y7">
        <v>32</v>
      </c>
      <c r="Z7" s="195">
        <v>48293000</v>
      </c>
      <c r="AA7" s="195">
        <v>48498000</v>
      </c>
      <c r="AD7" s="139" t="s">
        <v>364</v>
      </c>
    </row>
    <row r="8" spans="1:30" ht="13.15" x14ac:dyDescent="0.25">
      <c r="A8" t="s">
        <v>694</v>
      </c>
      <c r="B8" s="194"/>
      <c r="C8" s="139" t="s">
        <v>365</v>
      </c>
      <c r="D8" s="194">
        <v>16085252.563034758</v>
      </c>
      <c r="E8" s="194">
        <v>1160541</v>
      </c>
      <c r="F8" s="195">
        <v>7310034</v>
      </c>
      <c r="G8" s="195">
        <v>258283.68</v>
      </c>
      <c r="H8" s="195">
        <v>4246083</v>
      </c>
      <c r="I8" s="195">
        <v>1507501.6230884641</v>
      </c>
      <c r="J8" s="195">
        <v>914</v>
      </c>
      <c r="K8" s="195">
        <v>4946</v>
      </c>
      <c r="L8" s="195">
        <v>104</v>
      </c>
      <c r="M8" s="195">
        <v>0</v>
      </c>
      <c r="N8" s="195">
        <v>0</v>
      </c>
      <c r="O8" s="195">
        <v>0</v>
      </c>
      <c r="P8" s="195">
        <v>0</v>
      </c>
      <c r="Q8">
        <v>0</v>
      </c>
      <c r="R8">
        <v>0</v>
      </c>
      <c r="S8">
        <v>0</v>
      </c>
      <c r="T8">
        <v>2895</v>
      </c>
      <c r="U8">
        <v>2115</v>
      </c>
      <c r="V8">
        <v>240</v>
      </c>
      <c r="W8">
        <v>361</v>
      </c>
      <c r="X8">
        <v>371</v>
      </c>
      <c r="Y8">
        <v>0</v>
      </c>
      <c r="Z8" s="195">
        <v>48195000</v>
      </c>
      <c r="AA8" s="195">
        <v>48145000</v>
      </c>
      <c r="AD8" s="139" t="s">
        <v>365</v>
      </c>
    </row>
    <row r="9" spans="1:30" ht="13.15" x14ac:dyDescent="0.25">
      <c r="A9" t="s">
        <v>691</v>
      </c>
      <c r="B9" s="194"/>
      <c r="C9" s="139" t="s">
        <v>320</v>
      </c>
      <c r="D9" s="194">
        <v>97170934.530398995</v>
      </c>
      <c r="E9" s="194">
        <v>7540556</v>
      </c>
      <c r="F9" s="195">
        <v>69979859</v>
      </c>
      <c r="G9" s="195">
        <v>8605081.4600000009</v>
      </c>
      <c r="H9" s="195">
        <v>33778223</v>
      </c>
      <c r="I9" s="195">
        <v>14605096.227706878</v>
      </c>
      <c r="J9" s="195">
        <v>3851</v>
      </c>
      <c r="K9" s="195">
        <v>16759</v>
      </c>
      <c r="L9" s="195">
        <v>287</v>
      </c>
      <c r="M9" s="195">
        <v>77</v>
      </c>
      <c r="N9" s="195">
        <v>703</v>
      </c>
      <c r="O9" s="195">
        <v>200</v>
      </c>
      <c r="P9" s="195">
        <v>20</v>
      </c>
      <c r="Q9">
        <v>7160</v>
      </c>
      <c r="R9">
        <v>3070</v>
      </c>
      <c r="S9">
        <v>0</v>
      </c>
      <c r="T9">
        <v>6901</v>
      </c>
      <c r="U9">
        <v>10820</v>
      </c>
      <c r="V9">
        <v>497</v>
      </c>
      <c r="W9">
        <v>1435</v>
      </c>
      <c r="X9">
        <v>1642</v>
      </c>
      <c r="Y9">
        <v>168</v>
      </c>
      <c r="Z9" s="195">
        <v>343188000</v>
      </c>
      <c r="AA9" s="195">
        <v>344383000</v>
      </c>
      <c r="AD9" s="139" t="s">
        <v>320</v>
      </c>
    </row>
    <row r="10" spans="1:30" ht="13.15" x14ac:dyDescent="0.25">
      <c r="A10" t="s">
        <v>695</v>
      </c>
      <c r="B10" s="194"/>
      <c r="C10" s="139" t="s">
        <v>217</v>
      </c>
      <c r="D10" s="194">
        <v>72051582.78831628</v>
      </c>
      <c r="E10" s="194">
        <v>6514579</v>
      </c>
      <c r="F10" s="195">
        <v>65219747</v>
      </c>
      <c r="G10" s="195">
        <v>5644713.0999999996</v>
      </c>
      <c r="H10" s="195">
        <v>37046513</v>
      </c>
      <c r="I10" s="195">
        <v>20402789.975101907</v>
      </c>
      <c r="J10" s="195">
        <v>4102</v>
      </c>
      <c r="K10" s="195">
        <v>14860</v>
      </c>
      <c r="L10" s="195">
        <v>487</v>
      </c>
      <c r="M10" s="195">
        <v>255</v>
      </c>
      <c r="N10" s="195">
        <v>125</v>
      </c>
      <c r="O10" s="195">
        <v>0</v>
      </c>
      <c r="P10" s="195">
        <v>0</v>
      </c>
      <c r="Q10">
        <v>1949</v>
      </c>
      <c r="R10">
        <v>50</v>
      </c>
      <c r="S10">
        <v>0</v>
      </c>
      <c r="T10">
        <v>7336</v>
      </c>
      <c r="U10">
        <v>8982</v>
      </c>
      <c r="V10">
        <v>409</v>
      </c>
      <c r="W10">
        <v>1822</v>
      </c>
      <c r="X10">
        <v>1271</v>
      </c>
      <c r="Y10">
        <v>0</v>
      </c>
      <c r="Z10" s="195">
        <v>282421000</v>
      </c>
      <c r="AA10" s="195">
        <v>277318000</v>
      </c>
      <c r="AD10" s="139" t="s">
        <v>217</v>
      </c>
    </row>
    <row r="11" spans="1:30" ht="13.15" x14ac:dyDescent="0.25">
      <c r="A11" t="s">
        <v>696</v>
      </c>
      <c r="B11" s="194"/>
      <c r="C11" s="139" t="s">
        <v>529</v>
      </c>
      <c r="D11" s="194">
        <v>176767497.7474044</v>
      </c>
      <c r="E11" s="194">
        <v>8827404</v>
      </c>
      <c r="F11" s="195">
        <v>131918567</v>
      </c>
      <c r="G11" s="195">
        <v>22147973.48</v>
      </c>
      <c r="H11" s="195">
        <v>79461792</v>
      </c>
      <c r="I11" s="195">
        <v>20554260.826619949</v>
      </c>
      <c r="J11" s="195">
        <v>7303</v>
      </c>
      <c r="K11" s="195">
        <v>32878</v>
      </c>
      <c r="L11" s="195">
        <v>1472</v>
      </c>
      <c r="M11" s="195">
        <v>0</v>
      </c>
      <c r="N11" s="195">
        <v>1837</v>
      </c>
      <c r="O11" s="195">
        <v>0</v>
      </c>
      <c r="P11" s="195">
        <v>0</v>
      </c>
      <c r="Q11">
        <v>4138</v>
      </c>
      <c r="R11">
        <v>103</v>
      </c>
      <c r="S11">
        <v>0</v>
      </c>
      <c r="T11">
        <v>11575</v>
      </c>
      <c r="U11">
        <v>25099</v>
      </c>
      <c r="V11">
        <v>0</v>
      </c>
      <c r="W11">
        <v>4580</v>
      </c>
      <c r="X11">
        <v>3241</v>
      </c>
      <c r="Y11">
        <v>365</v>
      </c>
      <c r="Z11" s="195">
        <v>664094000</v>
      </c>
      <c r="AA11" s="195">
        <v>688413000</v>
      </c>
      <c r="AD11" s="139" t="s">
        <v>529</v>
      </c>
    </row>
    <row r="12" spans="1:30" ht="13.15" x14ac:dyDescent="0.25">
      <c r="A12" t="s">
        <v>694</v>
      </c>
      <c r="B12" s="194"/>
      <c r="C12" s="139" t="s">
        <v>366</v>
      </c>
      <c r="D12" s="194">
        <v>86882075.839152843</v>
      </c>
      <c r="E12" s="194">
        <v>6825415</v>
      </c>
      <c r="F12" s="195">
        <v>46260094</v>
      </c>
      <c r="G12" s="195">
        <v>1379363.42</v>
      </c>
      <c r="H12" s="195">
        <v>20922018</v>
      </c>
      <c r="I12" s="195">
        <v>12993473.632238925</v>
      </c>
      <c r="J12" s="195">
        <v>3043</v>
      </c>
      <c r="K12" s="195">
        <v>16437</v>
      </c>
      <c r="L12" s="195">
        <v>311</v>
      </c>
      <c r="M12" s="195">
        <v>46</v>
      </c>
      <c r="N12" s="195">
        <v>0</v>
      </c>
      <c r="O12" s="195">
        <v>0</v>
      </c>
      <c r="P12" s="195">
        <v>0</v>
      </c>
      <c r="Q12">
        <v>3022</v>
      </c>
      <c r="R12">
        <v>4064</v>
      </c>
      <c r="S12">
        <v>8</v>
      </c>
      <c r="T12">
        <v>10200</v>
      </c>
      <c r="U12">
        <v>10950</v>
      </c>
      <c r="V12">
        <v>1390</v>
      </c>
      <c r="W12">
        <v>1920</v>
      </c>
      <c r="X12">
        <v>1843</v>
      </c>
      <c r="Y12">
        <v>114</v>
      </c>
      <c r="Z12" s="195">
        <v>286189000</v>
      </c>
      <c r="AA12" s="195">
        <v>306068000</v>
      </c>
      <c r="AD12" s="139" t="s">
        <v>366</v>
      </c>
    </row>
    <row r="13" spans="1:30" ht="13.15" x14ac:dyDescent="0.25">
      <c r="A13" t="s">
        <v>690</v>
      </c>
      <c r="B13" s="194"/>
      <c r="C13" s="139" t="s">
        <v>435</v>
      </c>
      <c r="D13" s="194">
        <v>6936133.5976374187</v>
      </c>
      <c r="E13" s="194">
        <v>587186</v>
      </c>
      <c r="F13" s="195">
        <v>3038577</v>
      </c>
      <c r="G13" s="195">
        <v>121339.28</v>
      </c>
      <c r="H13" s="195">
        <v>1016428</v>
      </c>
      <c r="I13" s="195">
        <v>837910.80388822453</v>
      </c>
      <c r="J13" s="195">
        <v>251</v>
      </c>
      <c r="K13" s="195">
        <v>1693</v>
      </c>
      <c r="L13" s="195">
        <v>0</v>
      </c>
      <c r="M13" s="195">
        <v>154</v>
      </c>
      <c r="N13" s="195">
        <v>0</v>
      </c>
      <c r="O13" s="195">
        <v>0</v>
      </c>
      <c r="P13" s="195">
        <v>34</v>
      </c>
      <c r="Q13">
        <v>0</v>
      </c>
      <c r="R13">
        <v>0</v>
      </c>
      <c r="S13">
        <v>0</v>
      </c>
      <c r="T13">
        <v>1277</v>
      </c>
      <c r="U13">
        <v>1002</v>
      </c>
      <c r="V13">
        <v>39</v>
      </c>
      <c r="W13">
        <v>352</v>
      </c>
      <c r="X13">
        <v>158</v>
      </c>
      <c r="Y13">
        <v>3</v>
      </c>
      <c r="Z13" s="195">
        <v>19262000</v>
      </c>
      <c r="AA13" s="195">
        <v>18922000</v>
      </c>
      <c r="AD13" s="139" t="s">
        <v>435</v>
      </c>
    </row>
    <row r="14" spans="1:30" ht="13.15" x14ac:dyDescent="0.25">
      <c r="A14" t="s">
        <v>693</v>
      </c>
      <c r="B14" s="194"/>
      <c r="C14" s="139" t="s">
        <v>198</v>
      </c>
      <c r="D14" s="194">
        <v>4755903.2469364647</v>
      </c>
      <c r="E14" s="194">
        <v>251227</v>
      </c>
      <c r="F14" s="195">
        <v>1271226</v>
      </c>
      <c r="G14" s="195">
        <v>84822.720000000001</v>
      </c>
      <c r="H14" s="195">
        <v>161256</v>
      </c>
      <c r="I14" s="195">
        <v>409695.65298141696</v>
      </c>
      <c r="J14" s="195">
        <v>205</v>
      </c>
      <c r="K14" s="195">
        <v>1016</v>
      </c>
      <c r="L14" s="195">
        <v>0</v>
      </c>
      <c r="M14" s="195">
        <v>2754</v>
      </c>
      <c r="N14" s="195">
        <v>0</v>
      </c>
      <c r="O14" s="195">
        <v>0</v>
      </c>
      <c r="P14" s="195">
        <v>1205</v>
      </c>
      <c r="Q14">
        <v>0</v>
      </c>
      <c r="R14">
        <v>0</v>
      </c>
      <c r="S14">
        <v>0</v>
      </c>
      <c r="T14">
        <v>672</v>
      </c>
      <c r="U14">
        <v>908</v>
      </c>
      <c r="V14">
        <v>50</v>
      </c>
      <c r="W14">
        <v>192</v>
      </c>
      <c r="X14">
        <v>73</v>
      </c>
      <c r="Y14">
        <v>0</v>
      </c>
      <c r="Z14" s="195">
        <v>19883000</v>
      </c>
      <c r="AA14" s="195">
        <v>21614000</v>
      </c>
      <c r="AD14" s="139" t="s">
        <v>198</v>
      </c>
    </row>
    <row r="15" spans="1:30" ht="13.15" x14ac:dyDescent="0.25">
      <c r="A15" t="s">
        <v>697</v>
      </c>
      <c r="B15" s="194"/>
      <c r="C15" s="139" t="s">
        <v>294</v>
      </c>
      <c r="D15" s="194">
        <v>132771662.0666998</v>
      </c>
      <c r="E15" s="194">
        <v>8387087</v>
      </c>
      <c r="F15" s="195">
        <v>101208145</v>
      </c>
      <c r="G15" s="195">
        <v>11175652.359999999</v>
      </c>
      <c r="H15" s="195">
        <v>45088705</v>
      </c>
      <c r="I15" s="195">
        <v>22425138.678902518</v>
      </c>
      <c r="J15" s="195">
        <v>6918</v>
      </c>
      <c r="K15" s="195">
        <v>31870</v>
      </c>
      <c r="L15" s="195">
        <v>658</v>
      </c>
      <c r="M15" s="195">
        <v>0</v>
      </c>
      <c r="N15" s="195">
        <v>275</v>
      </c>
      <c r="O15" s="195">
        <v>43</v>
      </c>
      <c r="P15" s="195">
        <v>0</v>
      </c>
      <c r="Q15">
        <v>2588</v>
      </c>
      <c r="R15">
        <v>2508</v>
      </c>
      <c r="S15">
        <v>0</v>
      </c>
      <c r="T15">
        <v>12431</v>
      </c>
      <c r="U15">
        <v>14906</v>
      </c>
      <c r="V15">
        <v>4974</v>
      </c>
      <c r="W15">
        <v>2635</v>
      </c>
      <c r="X15">
        <v>2609</v>
      </c>
      <c r="Y15">
        <v>418</v>
      </c>
      <c r="Z15" s="195">
        <v>479472008</v>
      </c>
      <c r="AA15" s="195">
        <v>481505000</v>
      </c>
      <c r="AD15" s="139" t="s">
        <v>294</v>
      </c>
    </row>
    <row r="16" spans="1:30" ht="13.15" x14ac:dyDescent="0.25">
      <c r="A16" t="s">
        <v>691</v>
      </c>
      <c r="B16" s="194"/>
      <c r="C16" s="139" t="s">
        <v>321</v>
      </c>
      <c r="D16" s="194">
        <v>69797618.328157753</v>
      </c>
      <c r="E16" s="194">
        <v>5513331</v>
      </c>
      <c r="F16" s="195">
        <v>21132467</v>
      </c>
      <c r="G16" s="195">
        <v>768763.56</v>
      </c>
      <c r="H16" s="195">
        <v>18315698</v>
      </c>
      <c r="I16" s="195">
        <v>3619833.4128473583</v>
      </c>
      <c r="J16" s="195">
        <v>3537</v>
      </c>
      <c r="K16" s="195">
        <v>15795</v>
      </c>
      <c r="L16" s="195">
        <v>199</v>
      </c>
      <c r="M16" s="195">
        <v>100</v>
      </c>
      <c r="N16" s="195">
        <v>0</v>
      </c>
      <c r="O16" s="195">
        <v>0</v>
      </c>
      <c r="P16" s="195">
        <v>0</v>
      </c>
      <c r="Q16">
        <v>1944</v>
      </c>
      <c r="R16">
        <v>0</v>
      </c>
      <c r="S16">
        <v>0</v>
      </c>
      <c r="T16">
        <v>8148</v>
      </c>
      <c r="U16">
        <v>8930</v>
      </c>
      <c r="V16">
        <v>2609</v>
      </c>
      <c r="W16">
        <v>2017</v>
      </c>
      <c r="X16">
        <v>1846</v>
      </c>
      <c r="Y16">
        <v>133</v>
      </c>
      <c r="Z16" s="195">
        <v>188813000</v>
      </c>
      <c r="AA16" s="195">
        <v>199894000</v>
      </c>
      <c r="AD16" s="139" t="s">
        <v>321</v>
      </c>
    </row>
    <row r="17" spans="1:30" ht="13.15" x14ac:dyDescent="0.25">
      <c r="A17" t="s">
        <v>691</v>
      </c>
      <c r="B17" s="194"/>
      <c r="C17" s="139" t="s">
        <v>322</v>
      </c>
      <c r="D17" s="194">
        <v>1294386589.7509985</v>
      </c>
      <c r="E17" s="194">
        <v>46357034</v>
      </c>
      <c r="F17" s="195">
        <v>497510413</v>
      </c>
      <c r="G17" s="195">
        <v>113614870.81999999</v>
      </c>
      <c r="H17" s="195">
        <v>572263730</v>
      </c>
      <c r="I17" s="195">
        <v>146565156.74321109</v>
      </c>
      <c r="J17" s="195">
        <v>43122</v>
      </c>
      <c r="K17" s="195">
        <v>119343</v>
      </c>
      <c r="L17" s="195">
        <v>0</v>
      </c>
      <c r="M17" s="195">
        <v>46422</v>
      </c>
      <c r="N17" s="195">
        <v>0</v>
      </c>
      <c r="O17" s="195">
        <v>0</v>
      </c>
      <c r="P17" s="195">
        <v>0</v>
      </c>
      <c r="Q17">
        <v>177000</v>
      </c>
      <c r="R17">
        <v>4171</v>
      </c>
      <c r="S17">
        <v>403</v>
      </c>
      <c r="T17">
        <v>65804</v>
      </c>
      <c r="U17">
        <v>84050</v>
      </c>
      <c r="V17">
        <v>7191</v>
      </c>
      <c r="W17">
        <v>28244</v>
      </c>
      <c r="X17">
        <v>14457</v>
      </c>
      <c r="Y17">
        <v>5468</v>
      </c>
      <c r="Z17" s="195">
        <v>5279601048</v>
      </c>
      <c r="AA17" s="195">
        <v>4744662968</v>
      </c>
      <c r="AD17" s="139" t="s">
        <v>322</v>
      </c>
    </row>
    <row r="18" spans="1:30" ht="13.15" x14ac:dyDescent="0.25">
      <c r="A18" t="s">
        <v>692</v>
      </c>
      <c r="B18" s="194"/>
      <c r="C18" s="139" t="s">
        <v>242</v>
      </c>
      <c r="D18" s="194">
        <v>134011021.4890148</v>
      </c>
      <c r="E18" s="194">
        <v>12684990</v>
      </c>
      <c r="F18" s="195">
        <v>125443987</v>
      </c>
      <c r="G18" s="195">
        <v>9499302.8399999999</v>
      </c>
      <c r="H18" s="195">
        <v>46973616</v>
      </c>
      <c r="I18" s="195">
        <v>27643098.820270941</v>
      </c>
      <c r="J18" s="195">
        <v>9823</v>
      </c>
      <c r="K18" s="195">
        <v>35882</v>
      </c>
      <c r="L18" s="195">
        <v>771</v>
      </c>
      <c r="M18" s="195">
        <v>1659</v>
      </c>
      <c r="N18" s="195">
        <v>0</v>
      </c>
      <c r="O18" s="195">
        <v>0</v>
      </c>
      <c r="P18" s="195">
        <v>0</v>
      </c>
      <c r="Q18">
        <v>3444</v>
      </c>
      <c r="R18">
        <v>816</v>
      </c>
      <c r="S18">
        <v>0</v>
      </c>
      <c r="T18">
        <v>12306</v>
      </c>
      <c r="U18">
        <v>17364</v>
      </c>
      <c r="V18">
        <v>1617</v>
      </c>
      <c r="W18">
        <v>3586</v>
      </c>
      <c r="X18">
        <v>2980</v>
      </c>
      <c r="Y18">
        <v>375</v>
      </c>
      <c r="Z18" s="195">
        <v>540585431</v>
      </c>
      <c r="AA18" s="195">
        <v>540536395</v>
      </c>
      <c r="AD18" s="139" t="s">
        <v>242</v>
      </c>
    </row>
    <row r="19" spans="1:30" ht="13.15" x14ac:dyDescent="0.25">
      <c r="A19" t="s">
        <v>698</v>
      </c>
      <c r="B19" s="194"/>
      <c r="C19" s="139" t="s">
        <v>174</v>
      </c>
      <c r="D19" s="194">
        <v>11976360.078337595</v>
      </c>
      <c r="E19" s="194">
        <v>1452417</v>
      </c>
      <c r="F19" s="195">
        <v>10487374</v>
      </c>
      <c r="G19" s="195">
        <v>1138125.42</v>
      </c>
      <c r="H19" s="195">
        <v>5798336</v>
      </c>
      <c r="I19" s="195">
        <v>5243848.0110326502</v>
      </c>
      <c r="J19" s="195">
        <v>432</v>
      </c>
      <c r="K19" s="195">
        <v>2649</v>
      </c>
      <c r="L19" s="195">
        <v>0</v>
      </c>
      <c r="M19" s="195">
        <v>0</v>
      </c>
      <c r="N19" s="195">
        <v>69</v>
      </c>
      <c r="O19" s="195">
        <v>0</v>
      </c>
      <c r="P19" s="195">
        <v>0</v>
      </c>
      <c r="Q19">
        <v>0</v>
      </c>
      <c r="R19">
        <v>0</v>
      </c>
      <c r="S19">
        <v>0</v>
      </c>
      <c r="T19">
        <v>1319</v>
      </c>
      <c r="U19">
        <v>1432</v>
      </c>
      <c r="V19">
        <v>81</v>
      </c>
      <c r="W19">
        <v>75</v>
      </c>
      <c r="X19">
        <v>189</v>
      </c>
      <c r="Y19">
        <v>0</v>
      </c>
      <c r="Z19" s="195">
        <v>38782000</v>
      </c>
      <c r="AA19" s="195">
        <v>39152000</v>
      </c>
      <c r="AD19" s="139" t="s">
        <v>174</v>
      </c>
    </row>
    <row r="20" spans="1:30" ht="13.15" x14ac:dyDescent="0.25">
      <c r="A20" t="s">
        <v>692</v>
      </c>
      <c r="B20" s="194"/>
      <c r="C20" s="139" t="s">
        <v>243</v>
      </c>
      <c r="D20" s="194">
        <v>158239914.47300732</v>
      </c>
      <c r="E20" s="194">
        <v>10797148</v>
      </c>
      <c r="F20" s="195">
        <v>165197083</v>
      </c>
      <c r="G20" s="195">
        <v>18518046.460000001</v>
      </c>
      <c r="H20" s="195">
        <v>98837706</v>
      </c>
      <c r="I20" s="195">
        <v>41334456.033425398</v>
      </c>
      <c r="J20" s="195">
        <v>7028</v>
      </c>
      <c r="K20" s="195">
        <v>45381</v>
      </c>
      <c r="L20" s="195">
        <v>0</v>
      </c>
      <c r="M20" s="195">
        <v>0</v>
      </c>
      <c r="N20" s="195">
        <v>0</v>
      </c>
      <c r="O20" s="195">
        <v>0</v>
      </c>
      <c r="P20" s="195">
        <v>0</v>
      </c>
      <c r="Q20">
        <v>5954</v>
      </c>
      <c r="R20">
        <v>0</v>
      </c>
      <c r="S20">
        <v>59</v>
      </c>
      <c r="T20">
        <v>15897</v>
      </c>
      <c r="U20">
        <v>16638</v>
      </c>
      <c r="V20">
        <v>0</v>
      </c>
      <c r="W20">
        <v>4542</v>
      </c>
      <c r="X20">
        <v>2261</v>
      </c>
      <c r="Y20">
        <v>279</v>
      </c>
      <c r="Z20" s="195">
        <v>689254000</v>
      </c>
      <c r="AA20" s="195">
        <v>708534000</v>
      </c>
      <c r="AD20" s="139" t="s">
        <v>243</v>
      </c>
    </row>
    <row r="21" spans="1:30" ht="13.15" x14ac:dyDescent="0.25">
      <c r="A21" t="s">
        <v>689</v>
      </c>
      <c r="B21" s="194"/>
      <c r="C21" s="139" t="s">
        <v>162</v>
      </c>
      <c r="D21" s="194">
        <v>62546760.341612548</v>
      </c>
      <c r="E21" s="194">
        <v>5436659</v>
      </c>
      <c r="F21" s="195">
        <v>83129349</v>
      </c>
      <c r="G21" s="195">
        <v>6345852.96</v>
      </c>
      <c r="H21" s="195">
        <v>30099581</v>
      </c>
      <c r="I21" s="195">
        <v>18451631.6936015</v>
      </c>
      <c r="J21" s="195">
        <v>2886</v>
      </c>
      <c r="K21" s="195">
        <v>13278</v>
      </c>
      <c r="L21" s="195">
        <v>0</v>
      </c>
      <c r="M21" s="195">
        <v>355</v>
      </c>
      <c r="N21" s="195">
        <v>0</v>
      </c>
      <c r="O21" s="195">
        <v>0</v>
      </c>
      <c r="P21" s="195">
        <v>0</v>
      </c>
      <c r="Q21">
        <v>1702</v>
      </c>
      <c r="R21">
        <v>73</v>
      </c>
      <c r="S21">
        <v>0</v>
      </c>
      <c r="T21">
        <v>6485</v>
      </c>
      <c r="U21">
        <v>6104</v>
      </c>
      <c r="V21">
        <v>718</v>
      </c>
      <c r="W21">
        <v>1250</v>
      </c>
      <c r="X21">
        <v>1042</v>
      </c>
      <c r="Y21">
        <v>116</v>
      </c>
      <c r="Z21" s="195">
        <v>317709992</v>
      </c>
      <c r="AA21" s="195">
        <v>321498000</v>
      </c>
      <c r="AD21" s="139" t="s">
        <v>162</v>
      </c>
    </row>
    <row r="22" spans="1:30" ht="13.15" x14ac:dyDescent="0.25">
      <c r="A22" t="s">
        <v>690</v>
      </c>
      <c r="B22" s="194"/>
      <c r="C22" s="139" t="s">
        <v>436</v>
      </c>
      <c r="D22" s="194">
        <v>12233266.370886296</v>
      </c>
      <c r="E22" s="194">
        <v>1064805</v>
      </c>
      <c r="F22" s="195">
        <v>6415485</v>
      </c>
      <c r="G22" s="195">
        <v>256681.64</v>
      </c>
      <c r="H22" s="195">
        <v>2628579</v>
      </c>
      <c r="I22" s="195">
        <v>2272518.3303870945</v>
      </c>
      <c r="J22" s="195">
        <v>574</v>
      </c>
      <c r="K22" s="195">
        <v>2750</v>
      </c>
      <c r="L22" s="195">
        <v>76</v>
      </c>
      <c r="M22" s="195">
        <v>558</v>
      </c>
      <c r="N22" s="195">
        <v>31</v>
      </c>
      <c r="O22" s="195">
        <v>0</v>
      </c>
      <c r="P22" s="195">
        <v>0</v>
      </c>
      <c r="Q22">
        <v>0</v>
      </c>
      <c r="R22">
        <v>0</v>
      </c>
      <c r="S22">
        <v>0</v>
      </c>
      <c r="T22">
        <v>1602</v>
      </c>
      <c r="U22">
        <v>866</v>
      </c>
      <c r="V22">
        <v>0</v>
      </c>
      <c r="W22">
        <v>645</v>
      </c>
      <c r="X22">
        <v>366</v>
      </c>
      <c r="Y22">
        <v>4</v>
      </c>
      <c r="Z22" s="195">
        <v>35967000</v>
      </c>
      <c r="AA22" s="195">
        <v>35965000</v>
      </c>
      <c r="AD22" s="139" t="s">
        <v>436</v>
      </c>
    </row>
    <row r="23" spans="1:30" ht="13.15" x14ac:dyDescent="0.25">
      <c r="A23" t="s">
        <v>690</v>
      </c>
      <c r="B23" s="194"/>
      <c r="C23" s="139" t="s">
        <v>437</v>
      </c>
      <c r="D23" s="194">
        <v>5909688.7380412202</v>
      </c>
      <c r="E23" s="194">
        <v>600282</v>
      </c>
      <c r="F23" s="195">
        <v>2472323</v>
      </c>
      <c r="G23" s="195">
        <v>165696.91</v>
      </c>
      <c r="H23" s="195">
        <v>831873</v>
      </c>
      <c r="I23" s="195">
        <v>569293.55652574915</v>
      </c>
      <c r="J23" s="195">
        <v>217</v>
      </c>
      <c r="K23" s="195">
        <v>1154</v>
      </c>
      <c r="L23" s="195">
        <v>37</v>
      </c>
      <c r="M23" s="195">
        <v>55</v>
      </c>
      <c r="N23" s="195">
        <v>39</v>
      </c>
      <c r="O23" s="195">
        <v>0</v>
      </c>
      <c r="P23" s="195">
        <v>242</v>
      </c>
      <c r="Q23">
        <v>0</v>
      </c>
      <c r="R23">
        <v>8</v>
      </c>
      <c r="S23">
        <v>0</v>
      </c>
      <c r="T23">
        <v>504</v>
      </c>
      <c r="U23">
        <v>575</v>
      </c>
      <c r="V23">
        <v>0</v>
      </c>
      <c r="W23">
        <v>238</v>
      </c>
      <c r="X23">
        <v>147</v>
      </c>
      <c r="Y23">
        <v>16</v>
      </c>
      <c r="Z23" s="195">
        <v>15586000</v>
      </c>
      <c r="AA23" s="195">
        <v>15586000</v>
      </c>
      <c r="AD23" s="139" t="s">
        <v>437</v>
      </c>
    </row>
    <row r="24" spans="1:30" ht="13.15" x14ac:dyDescent="0.25">
      <c r="A24" t="s">
        <v>697</v>
      </c>
      <c r="B24" s="194"/>
      <c r="C24" s="139" t="s">
        <v>295</v>
      </c>
      <c r="D24" s="194">
        <v>17715788.710320659</v>
      </c>
      <c r="E24" s="194">
        <v>2080139</v>
      </c>
      <c r="F24" s="195">
        <v>9397188</v>
      </c>
      <c r="G24" s="195">
        <v>274553.8</v>
      </c>
      <c r="H24" s="195">
        <v>4778976</v>
      </c>
      <c r="I24" s="195">
        <v>1495402.4722724494</v>
      </c>
      <c r="J24" s="195">
        <v>722</v>
      </c>
      <c r="K24" s="195">
        <v>4917</v>
      </c>
      <c r="L24" s="195">
        <v>95</v>
      </c>
      <c r="M24" s="195">
        <v>98</v>
      </c>
      <c r="N24" s="195">
        <v>27</v>
      </c>
      <c r="O24" s="195">
        <v>0</v>
      </c>
      <c r="P24" s="195">
        <v>48</v>
      </c>
      <c r="Q24">
        <v>0</v>
      </c>
      <c r="R24">
        <v>38</v>
      </c>
      <c r="S24">
        <v>4</v>
      </c>
      <c r="T24">
        <v>2574</v>
      </c>
      <c r="U24">
        <v>3098</v>
      </c>
      <c r="V24">
        <v>453</v>
      </c>
      <c r="W24">
        <v>456</v>
      </c>
      <c r="X24">
        <v>488</v>
      </c>
      <c r="Y24">
        <v>42</v>
      </c>
      <c r="Z24" s="195">
        <v>70070000</v>
      </c>
      <c r="AA24" s="195">
        <v>69836000</v>
      </c>
      <c r="AD24" s="139" t="s">
        <v>295</v>
      </c>
    </row>
    <row r="25" spans="1:30" ht="13.15" x14ac:dyDescent="0.25">
      <c r="A25" t="s">
        <v>694</v>
      </c>
      <c r="B25" s="194"/>
      <c r="C25" s="139" t="s">
        <v>367</v>
      </c>
      <c r="D25" s="194">
        <v>35797219.232045583</v>
      </c>
      <c r="E25" s="194">
        <v>2215969</v>
      </c>
      <c r="F25" s="195">
        <v>13618180</v>
      </c>
      <c r="G25" s="195">
        <v>572883.06000000006</v>
      </c>
      <c r="H25" s="195">
        <v>6985549</v>
      </c>
      <c r="I25" s="195">
        <v>2173308.8421998918</v>
      </c>
      <c r="J25" s="195">
        <v>1141</v>
      </c>
      <c r="K25" s="195">
        <v>7294</v>
      </c>
      <c r="L25" s="195">
        <v>290</v>
      </c>
      <c r="M25" s="195">
        <v>25</v>
      </c>
      <c r="N25" s="195">
        <v>0</v>
      </c>
      <c r="O25" s="195">
        <v>0</v>
      </c>
      <c r="P25" s="195">
        <v>0</v>
      </c>
      <c r="Q25">
        <v>0</v>
      </c>
      <c r="R25">
        <v>0</v>
      </c>
      <c r="S25">
        <v>0</v>
      </c>
      <c r="T25">
        <v>3744</v>
      </c>
      <c r="U25">
        <v>4255</v>
      </c>
      <c r="V25">
        <v>411</v>
      </c>
      <c r="W25">
        <v>710</v>
      </c>
      <c r="X25">
        <v>742</v>
      </c>
      <c r="Y25">
        <v>55</v>
      </c>
      <c r="Z25" s="195">
        <v>87749000</v>
      </c>
      <c r="AA25" s="195">
        <v>93496000</v>
      </c>
      <c r="AD25" s="139" t="s">
        <v>367</v>
      </c>
    </row>
    <row r="26" spans="1:30" ht="13.15" x14ac:dyDescent="0.25">
      <c r="A26" t="s">
        <v>692</v>
      </c>
      <c r="B26" s="194"/>
      <c r="C26" s="139" t="s">
        <v>244</v>
      </c>
      <c r="D26" s="194">
        <v>39896214.554999195</v>
      </c>
      <c r="E26" s="194">
        <v>2938982</v>
      </c>
      <c r="F26" s="195">
        <v>19830378</v>
      </c>
      <c r="G26" s="195">
        <v>727491.62</v>
      </c>
      <c r="H26" s="195">
        <v>7411193</v>
      </c>
      <c r="I26" s="195">
        <v>3233329.3475553538</v>
      </c>
      <c r="J26" s="195">
        <v>1785</v>
      </c>
      <c r="K26" s="195">
        <v>8607</v>
      </c>
      <c r="L26" s="195">
        <v>177</v>
      </c>
      <c r="M26" s="195">
        <v>443</v>
      </c>
      <c r="N26" s="195">
        <v>120</v>
      </c>
      <c r="O26" s="195">
        <v>0</v>
      </c>
      <c r="P26" s="195">
        <v>925</v>
      </c>
      <c r="Q26">
        <v>1218</v>
      </c>
      <c r="R26">
        <v>4033</v>
      </c>
      <c r="S26">
        <v>0</v>
      </c>
      <c r="T26">
        <v>4013</v>
      </c>
      <c r="U26">
        <v>5031</v>
      </c>
      <c r="V26">
        <v>690</v>
      </c>
      <c r="W26">
        <v>1480</v>
      </c>
      <c r="X26">
        <v>837</v>
      </c>
      <c r="Y26">
        <v>56</v>
      </c>
      <c r="Z26" s="195">
        <v>119835000</v>
      </c>
      <c r="AA26" s="195">
        <v>117239000</v>
      </c>
      <c r="AD26" s="139" t="s">
        <v>244</v>
      </c>
    </row>
    <row r="27" spans="1:30" ht="13.15" x14ac:dyDescent="0.25">
      <c r="A27" t="s">
        <v>698</v>
      </c>
      <c r="B27" s="194"/>
      <c r="C27" s="139" t="s">
        <v>175</v>
      </c>
      <c r="D27" s="194">
        <v>7946146.2549665272</v>
      </c>
      <c r="E27" s="194">
        <v>818393</v>
      </c>
      <c r="F27" s="195">
        <v>5589263</v>
      </c>
      <c r="G27" s="195">
        <v>262086.64</v>
      </c>
      <c r="H27" s="195">
        <v>1819849</v>
      </c>
      <c r="I27" s="195">
        <v>1609995.2283763241</v>
      </c>
      <c r="J27" s="195">
        <v>234</v>
      </c>
      <c r="K27" s="195">
        <v>1435</v>
      </c>
      <c r="L27" s="195">
        <v>59</v>
      </c>
      <c r="M27" s="195">
        <v>0</v>
      </c>
      <c r="N27" s="195">
        <v>0</v>
      </c>
      <c r="O27" s="195">
        <v>0</v>
      </c>
      <c r="P27" s="195">
        <v>0</v>
      </c>
      <c r="Q27">
        <v>0</v>
      </c>
      <c r="R27">
        <v>0</v>
      </c>
      <c r="S27">
        <v>1</v>
      </c>
      <c r="T27">
        <v>1007</v>
      </c>
      <c r="U27">
        <v>1068</v>
      </c>
      <c r="V27">
        <v>147</v>
      </c>
      <c r="W27">
        <v>171</v>
      </c>
      <c r="X27">
        <v>188</v>
      </c>
      <c r="Y27">
        <v>7</v>
      </c>
      <c r="Z27" s="195">
        <v>22257000</v>
      </c>
      <c r="AA27" s="195">
        <v>22171000</v>
      </c>
      <c r="AD27" s="139" t="s">
        <v>175</v>
      </c>
    </row>
    <row r="28" spans="1:30" ht="13.15" x14ac:dyDescent="0.25">
      <c r="A28" t="s">
        <v>699</v>
      </c>
      <c r="B28" s="194"/>
      <c r="C28" s="139" t="s">
        <v>497</v>
      </c>
      <c r="D28" s="194">
        <v>11313005.038238604</v>
      </c>
      <c r="E28" s="194">
        <v>1396579</v>
      </c>
      <c r="F28" s="195">
        <v>7200537</v>
      </c>
      <c r="G28" s="195">
        <v>216116.16</v>
      </c>
      <c r="H28" s="195">
        <v>3606716</v>
      </c>
      <c r="I28" s="195">
        <v>2665534.6507914281</v>
      </c>
      <c r="J28" s="195">
        <v>799</v>
      </c>
      <c r="K28" s="195">
        <v>3193</v>
      </c>
      <c r="L28" s="195">
        <v>106</v>
      </c>
      <c r="M28" s="195">
        <v>1</v>
      </c>
      <c r="N28" s="195">
        <v>0</v>
      </c>
      <c r="O28" s="195">
        <v>0</v>
      </c>
      <c r="P28" s="195">
        <v>0</v>
      </c>
      <c r="Q28">
        <v>0</v>
      </c>
      <c r="R28">
        <v>0</v>
      </c>
      <c r="S28">
        <v>0</v>
      </c>
      <c r="T28">
        <v>1969</v>
      </c>
      <c r="U28">
        <v>1364</v>
      </c>
      <c r="V28">
        <v>52</v>
      </c>
      <c r="W28">
        <v>383</v>
      </c>
      <c r="X28">
        <v>260</v>
      </c>
      <c r="Y28">
        <v>16</v>
      </c>
      <c r="Z28" s="195">
        <v>39684000</v>
      </c>
      <c r="AA28" s="195">
        <v>40687000</v>
      </c>
      <c r="AD28" s="139" t="s">
        <v>497</v>
      </c>
    </row>
    <row r="29" spans="1:30" ht="13.15" x14ac:dyDescent="0.25">
      <c r="A29" t="s">
        <v>691</v>
      </c>
      <c r="B29" s="194"/>
      <c r="C29" s="139" t="s">
        <v>323</v>
      </c>
      <c r="D29" s="194">
        <v>6429384.7289775312</v>
      </c>
      <c r="E29" s="194">
        <v>561927</v>
      </c>
      <c r="F29" s="195">
        <v>2872988</v>
      </c>
      <c r="G29" s="195">
        <v>208639.2</v>
      </c>
      <c r="H29" s="195">
        <v>1028797</v>
      </c>
      <c r="I29" s="195">
        <v>469842.46860871778</v>
      </c>
      <c r="J29" s="195">
        <v>143</v>
      </c>
      <c r="K29" s="195">
        <v>1438</v>
      </c>
      <c r="L29" s="195">
        <v>0</v>
      </c>
      <c r="M29" s="195">
        <v>46</v>
      </c>
      <c r="N29" s="195">
        <v>0</v>
      </c>
      <c r="O29" s="195">
        <v>0</v>
      </c>
      <c r="P29" s="195">
        <v>0</v>
      </c>
      <c r="Q29">
        <v>0</v>
      </c>
      <c r="R29">
        <v>0</v>
      </c>
      <c r="S29">
        <v>7</v>
      </c>
      <c r="T29">
        <v>610</v>
      </c>
      <c r="U29">
        <v>809</v>
      </c>
      <c r="V29">
        <v>55</v>
      </c>
      <c r="W29">
        <v>386</v>
      </c>
      <c r="X29">
        <v>164</v>
      </c>
      <c r="Y29">
        <v>1</v>
      </c>
      <c r="Z29" s="195">
        <v>16772000</v>
      </c>
      <c r="AA29" s="195">
        <v>17541000</v>
      </c>
      <c r="AD29" s="139" t="s">
        <v>323</v>
      </c>
    </row>
    <row r="30" spans="1:30" ht="13.15" x14ac:dyDescent="0.25">
      <c r="A30" t="s">
        <v>699</v>
      </c>
      <c r="B30" s="194"/>
      <c r="C30" s="139" t="s">
        <v>498</v>
      </c>
      <c r="D30" s="194">
        <v>10146674.583529349</v>
      </c>
      <c r="E30" s="194">
        <v>1106076</v>
      </c>
      <c r="F30" s="195">
        <v>6760655</v>
      </c>
      <c r="G30" s="195">
        <v>172079.7</v>
      </c>
      <c r="H30" s="195">
        <v>3008285</v>
      </c>
      <c r="I30" s="195">
        <v>2255226.6150232237</v>
      </c>
      <c r="J30" s="195">
        <v>239</v>
      </c>
      <c r="K30" s="195">
        <v>1634</v>
      </c>
      <c r="L30" s="195">
        <v>70</v>
      </c>
      <c r="M30" s="195">
        <v>520</v>
      </c>
      <c r="N30" s="195">
        <v>0</v>
      </c>
      <c r="O30" s="195">
        <v>0</v>
      </c>
      <c r="P30" s="195">
        <v>2</v>
      </c>
      <c r="Q30">
        <v>0</v>
      </c>
      <c r="R30">
        <v>0</v>
      </c>
      <c r="S30">
        <v>0</v>
      </c>
      <c r="T30">
        <v>1195</v>
      </c>
      <c r="U30">
        <v>772</v>
      </c>
      <c r="V30">
        <v>90</v>
      </c>
      <c r="W30">
        <v>150</v>
      </c>
      <c r="X30">
        <v>189</v>
      </c>
      <c r="Y30">
        <v>8</v>
      </c>
      <c r="Z30" s="195">
        <v>29974000</v>
      </c>
      <c r="AA30" s="195">
        <v>30843000</v>
      </c>
      <c r="AD30" s="139" t="s">
        <v>498</v>
      </c>
    </row>
    <row r="31" spans="1:30" ht="13.15" x14ac:dyDescent="0.25">
      <c r="A31" t="s">
        <v>698</v>
      </c>
      <c r="B31" s="194"/>
      <c r="C31" s="139" t="s">
        <v>176</v>
      </c>
      <c r="D31" s="194">
        <v>9207819.2254454345</v>
      </c>
      <c r="E31" s="194">
        <v>929450</v>
      </c>
      <c r="F31" s="195">
        <v>6434261</v>
      </c>
      <c r="G31" s="195">
        <v>203128.94</v>
      </c>
      <c r="H31" s="195">
        <v>2978735</v>
      </c>
      <c r="I31" s="195">
        <v>3262882.3492650618</v>
      </c>
      <c r="J31" s="195">
        <v>134</v>
      </c>
      <c r="K31" s="195">
        <v>1432</v>
      </c>
      <c r="L31" s="195">
        <v>0</v>
      </c>
      <c r="M31" s="195">
        <v>81</v>
      </c>
      <c r="N31" s="195">
        <v>0</v>
      </c>
      <c r="O31" s="195">
        <v>0</v>
      </c>
      <c r="P31" s="195">
        <v>16</v>
      </c>
      <c r="Q31">
        <v>0</v>
      </c>
      <c r="R31">
        <v>0</v>
      </c>
      <c r="S31">
        <v>0</v>
      </c>
      <c r="T31">
        <v>1455</v>
      </c>
      <c r="U31">
        <v>987</v>
      </c>
      <c r="V31">
        <v>5</v>
      </c>
      <c r="W31">
        <v>50</v>
      </c>
      <c r="X31">
        <v>142</v>
      </c>
      <c r="Y31">
        <v>0</v>
      </c>
      <c r="Z31" s="195">
        <v>25851000</v>
      </c>
      <c r="AA31" s="195">
        <v>25739000</v>
      </c>
      <c r="AD31" s="139" t="s">
        <v>176</v>
      </c>
    </row>
    <row r="32" spans="1:30" ht="13.15" x14ac:dyDescent="0.25">
      <c r="A32" t="s">
        <v>692</v>
      </c>
      <c r="B32" s="194"/>
      <c r="C32" s="139" t="s">
        <v>700</v>
      </c>
      <c r="D32" s="194">
        <v>27012131.681035914</v>
      </c>
      <c r="E32" s="194">
        <v>3206836</v>
      </c>
      <c r="F32" s="195">
        <v>16875709</v>
      </c>
      <c r="G32" s="195">
        <v>530606.06000000006</v>
      </c>
      <c r="H32" s="195">
        <v>9401117</v>
      </c>
      <c r="I32" s="195">
        <v>6785920.0257318439</v>
      </c>
      <c r="J32" s="195">
        <v>735</v>
      </c>
      <c r="K32" s="195">
        <v>4216</v>
      </c>
      <c r="L32" s="195">
        <v>0</v>
      </c>
      <c r="M32" s="195">
        <v>220</v>
      </c>
      <c r="N32" s="195">
        <v>0</v>
      </c>
      <c r="O32" s="195">
        <v>1</v>
      </c>
      <c r="P32" s="195">
        <v>14</v>
      </c>
      <c r="Q32">
        <v>0</v>
      </c>
      <c r="R32">
        <v>0</v>
      </c>
      <c r="S32">
        <v>0</v>
      </c>
      <c r="T32">
        <v>3155</v>
      </c>
      <c r="U32">
        <v>2220</v>
      </c>
      <c r="V32">
        <v>45</v>
      </c>
      <c r="W32">
        <v>350</v>
      </c>
      <c r="X32">
        <v>670</v>
      </c>
      <c r="Y32">
        <v>25</v>
      </c>
      <c r="Z32" s="195">
        <v>76905000</v>
      </c>
      <c r="AA32" s="195">
        <v>77156000</v>
      </c>
      <c r="AD32" s="139" t="s">
        <v>700</v>
      </c>
    </row>
    <row r="33" spans="1:30" ht="13.15" x14ac:dyDescent="0.25">
      <c r="A33" t="s">
        <v>690</v>
      </c>
      <c r="B33" s="194"/>
      <c r="C33" s="139" t="s">
        <v>438</v>
      </c>
      <c r="D33" s="194">
        <v>12322562.079112284</v>
      </c>
      <c r="E33" s="194">
        <v>1157217</v>
      </c>
      <c r="F33" s="195">
        <v>7445808</v>
      </c>
      <c r="G33" s="195">
        <v>238824.92</v>
      </c>
      <c r="H33" s="195">
        <v>2027129</v>
      </c>
      <c r="I33" s="195">
        <v>2975727.5555606321</v>
      </c>
      <c r="J33" s="195">
        <v>515</v>
      </c>
      <c r="K33" s="195">
        <v>2945</v>
      </c>
      <c r="L33" s="195">
        <v>0</v>
      </c>
      <c r="M33" s="195">
        <v>855</v>
      </c>
      <c r="N33" s="195">
        <v>31</v>
      </c>
      <c r="O33" s="195">
        <v>0</v>
      </c>
      <c r="P33" s="195">
        <v>7</v>
      </c>
      <c r="Q33">
        <v>0</v>
      </c>
      <c r="R33">
        <v>17</v>
      </c>
      <c r="S33">
        <v>0</v>
      </c>
      <c r="T33">
        <v>1580</v>
      </c>
      <c r="U33">
        <v>1172</v>
      </c>
      <c r="V33">
        <v>14</v>
      </c>
      <c r="W33">
        <v>400</v>
      </c>
      <c r="X33">
        <v>819</v>
      </c>
      <c r="Y33">
        <v>0</v>
      </c>
      <c r="Z33" s="195">
        <v>46674000</v>
      </c>
      <c r="AA33" s="195">
        <v>44533000</v>
      </c>
      <c r="AD33" s="139" t="s">
        <v>438</v>
      </c>
    </row>
    <row r="34" spans="1:30" ht="13.15" x14ac:dyDescent="0.25">
      <c r="A34" t="s">
        <v>699</v>
      </c>
      <c r="B34" s="194"/>
      <c r="C34" s="139" t="s">
        <v>537</v>
      </c>
      <c r="D34" s="194">
        <v>10028648.686041296</v>
      </c>
      <c r="E34" s="194">
        <v>1140802</v>
      </c>
      <c r="F34" s="195">
        <v>7135035</v>
      </c>
      <c r="G34" s="195">
        <v>203904.82</v>
      </c>
      <c r="H34" s="195">
        <v>2368139</v>
      </c>
      <c r="I34" s="195">
        <v>2918328.0276108943</v>
      </c>
      <c r="J34" s="195">
        <v>307</v>
      </c>
      <c r="K34" s="195">
        <v>1873</v>
      </c>
      <c r="L34" s="195">
        <v>0</v>
      </c>
      <c r="M34" s="195">
        <v>433</v>
      </c>
      <c r="N34" s="195">
        <v>0</v>
      </c>
      <c r="O34" s="195">
        <v>0</v>
      </c>
      <c r="P34" s="195">
        <v>32</v>
      </c>
      <c r="Q34">
        <v>0</v>
      </c>
      <c r="R34">
        <v>0</v>
      </c>
      <c r="S34">
        <v>0</v>
      </c>
      <c r="T34">
        <v>1204</v>
      </c>
      <c r="U34">
        <v>1063</v>
      </c>
      <c r="V34">
        <v>15</v>
      </c>
      <c r="W34">
        <v>255</v>
      </c>
      <c r="X34">
        <v>194</v>
      </c>
      <c r="Y34">
        <v>13</v>
      </c>
      <c r="Z34" s="195">
        <v>28704000</v>
      </c>
      <c r="AA34" s="195">
        <v>29148000</v>
      </c>
      <c r="AD34" s="139" t="s">
        <v>537</v>
      </c>
    </row>
    <row r="35" spans="1:30" ht="13.15" x14ac:dyDescent="0.25">
      <c r="A35" t="s">
        <v>691</v>
      </c>
      <c r="B35" s="194"/>
      <c r="C35" s="139" t="s">
        <v>538</v>
      </c>
      <c r="D35" s="194">
        <v>20067745.20315823</v>
      </c>
      <c r="E35" s="194">
        <v>2314712</v>
      </c>
      <c r="F35" s="195">
        <v>9360900</v>
      </c>
      <c r="G35" s="195">
        <v>349646</v>
      </c>
      <c r="H35" s="195">
        <v>4245441</v>
      </c>
      <c r="I35" s="195">
        <v>1772875.5985715485</v>
      </c>
      <c r="J35" s="195">
        <v>1079</v>
      </c>
      <c r="K35" s="195">
        <v>7143</v>
      </c>
      <c r="L35" s="195">
        <v>177</v>
      </c>
      <c r="M35" s="195">
        <v>2344</v>
      </c>
      <c r="N35" s="195">
        <v>0</v>
      </c>
      <c r="O35" s="195">
        <v>0</v>
      </c>
      <c r="P35" s="195">
        <v>796</v>
      </c>
      <c r="Q35">
        <v>3986</v>
      </c>
      <c r="R35">
        <v>132</v>
      </c>
      <c r="S35">
        <v>0</v>
      </c>
      <c r="T35">
        <v>5696</v>
      </c>
      <c r="U35">
        <v>4601</v>
      </c>
      <c r="V35">
        <v>437</v>
      </c>
      <c r="W35">
        <v>528</v>
      </c>
      <c r="X35">
        <v>657</v>
      </c>
      <c r="Y35">
        <v>18</v>
      </c>
      <c r="Z35" s="195">
        <v>69789000</v>
      </c>
      <c r="AA35" s="195">
        <v>69427000</v>
      </c>
      <c r="AD35" s="139" t="s">
        <v>538</v>
      </c>
    </row>
    <row r="36" spans="1:30" ht="13.15" x14ac:dyDescent="0.25">
      <c r="A36" t="s">
        <v>690</v>
      </c>
      <c r="B36" s="194"/>
      <c r="C36" s="139" t="s">
        <v>439</v>
      </c>
      <c r="D36" s="194">
        <v>59616327.306530491</v>
      </c>
      <c r="E36" s="194">
        <v>5666106</v>
      </c>
      <c r="F36" s="195">
        <v>45338406</v>
      </c>
      <c r="G36" s="195">
        <v>4075289.06</v>
      </c>
      <c r="H36" s="195">
        <v>26463232</v>
      </c>
      <c r="I36" s="195">
        <v>14192690.184879893</v>
      </c>
      <c r="J36" s="195">
        <v>3196</v>
      </c>
      <c r="K36" s="195">
        <v>10829</v>
      </c>
      <c r="L36" s="195">
        <v>474</v>
      </c>
      <c r="M36" s="195">
        <v>284</v>
      </c>
      <c r="N36" s="195">
        <v>270</v>
      </c>
      <c r="O36" s="195">
        <v>0</v>
      </c>
      <c r="P36" s="195">
        <v>0</v>
      </c>
      <c r="Q36">
        <v>4413</v>
      </c>
      <c r="R36">
        <v>131</v>
      </c>
      <c r="S36">
        <v>0</v>
      </c>
      <c r="T36">
        <v>10757</v>
      </c>
      <c r="U36">
        <v>7161</v>
      </c>
      <c r="V36">
        <v>38</v>
      </c>
      <c r="W36">
        <v>1644</v>
      </c>
      <c r="X36">
        <v>1567</v>
      </c>
      <c r="Y36">
        <v>54</v>
      </c>
      <c r="Z36" s="195">
        <v>229340000</v>
      </c>
      <c r="AA36" s="195">
        <v>228625000</v>
      </c>
      <c r="AD36" s="139" t="s">
        <v>439</v>
      </c>
    </row>
    <row r="37" spans="1:30" ht="13.15" x14ac:dyDescent="0.25">
      <c r="A37" t="s">
        <v>692</v>
      </c>
      <c r="B37" s="194"/>
      <c r="C37" s="139" t="s">
        <v>245</v>
      </c>
      <c r="D37" s="194">
        <v>34615601.143952228</v>
      </c>
      <c r="E37" s="194">
        <v>3652909</v>
      </c>
      <c r="F37" s="195">
        <v>22014298</v>
      </c>
      <c r="G37" s="195">
        <v>717120.91999999993</v>
      </c>
      <c r="H37" s="195">
        <v>8232989</v>
      </c>
      <c r="I37" s="195">
        <v>8134019.9779140782</v>
      </c>
      <c r="J37" s="195">
        <v>1162</v>
      </c>
      <c r="K37" s="195">
        <v>6894</v>
      </c>
      <c r="L37" s="195">
        <v>0</v>
      </c>
      <c r="M37" s="195">
        <v>285</v>
      </c>
      <c r="N37" s="195">
        <v>0</v>
      </c>
      <c r="O37" s="195">
        <v>4</v>
      </c>
      <c r="P37" s="195">
        <v>0</v>
      </c>
      <c r="Q37">
        <v>0</v>
      </c>
      <c r="R37">
        <v>0</v>
      </c>
      <c r="S37">
        <v>0</v>
      </c>
      <c r="T37">
        <v>6075</v>
      </c>
      <c r="U37">
        <v>2850</v>
      </c>
      <c r="V37">
        <v>260</v>
      </c>
      <c r="W37">
        <v>700</v>
      </c>
      <c r="X37">
        <v>629</v>
      </c>
      <c r="Y37">
        <v>62</v>
      </c>
      <c r="Z37" s="195">
        <v>98301000</v>
      </c>
      <c r="AA37" s="195">
        <v>98808000</v>
      </c>
      <c r="AD37" s="139" t="s">
        <v>245</v>
      </c>
    </row>
    <row r="38" spans="1:30" ht="13.15" x14ac:dyDescent="0.25">
      <c r="A38" t="s">
        <v>690</v>
      </c>
      <c r="B38" s="194"/>
      <c r="C38" s="139" t="s">
        <v>440</v>
      </c>
      <c r="D38" s="194">
        <v>19480406.107416317</v>
      </c>
      <c r="E38" s="194">
        <v>1873982</v>
      </c>
      <c r="F38" s="195">
        <v>13110502</v>
      </c>
      <c r="G38" s="195">
        <v>329421.94</v>
      </c>
      <c r="H38" s="195">
        <v>3438691</v>
      </c>
      <c r="I38" s="195">
        <v>5222463.2324705627</v>
      </c>
      <c r="J38" s="195">
        <v>932</v>
      </c>
      <c r="K38" s="195">
        <v>5296</v>
      </c>
      <c r="L38" s="195">
        <v>0</v>
      </c>
      <c r="M38" s="195">
        <v>94</v>
      </c>
      <c r="N38" s="195">
        <v>26</v>
      </c>
      <c r="O38" s="195">
        <v>2</v>
      </c>
      <c r="P38" s="195">
        <v>0</v>
      </c>
      <c r="Q38">
        <v>0</v>
      </c>
      <c r="R38">
        <v>0</v>
      </c>
      <c r="S38">
        <v>0</v>
      </c>
      <c r="T38">
        <v>2138</v>
      </c>
      <c r="U38">
        <v>2292</v>
      </c>
      <c r="V38">
        <v>76</v>
      </c>
      <c r="W38">
        <v>894</v>
      </c>
      <c r="X38">
        <v>693</v>
      </c>
      <c r="Y38">
        <v>20</v>
      </c>
      <c r="Z38" s="195">
        <v>63363000</v>
      </c>
      <c r="AA38" s="195">
        <v>63158000</v>
      </c>
      <c r="AD38" s="139" t="s">
        <v>440</v>
      </c>
    </row>
    <row r="39" spans="1:30" ht="13.15" x14ac:dyDescent="0.25">
      <c r="A39" t="s">
        <v>690</v>
      </c>
      <c r="B39" s="194"/>
      <c r="C39" s="139" t="s">
        <v>441</v>
      </c>
      <c r="D39" s="194">
        <v>19857614.20448881</v>
      </c>
      <c r="E39" s="194">
        <v>1841907</v>
      </c>
      <c r="F39" s="195">
        <v>11191724</v>
      </c>
      <c r="G39" s="195">
        <v>288471.86</v>
      </c>
      <c r="H39" s="195">
        <v>5441799</v>
      </c>
      <c r="I39" s="195">
        <v>3522114.9419015977</v>
      </c>
      <c r="J39" s="195">
        <v>865</v>
      </c>
      <c r="K39" s="195">
        <v>4189</v>
      </c>
      <c r="L39" s="195">
        <v>0</v>
      </c>
      <c r="M39" s="195">
        <v>12</v>
      </c>
      <c r="N39" s="195">
        <v>61</v>
      </c>
      <c r="O39" s="195">
        <v>4</v>
      </c>
      <c r="P39" s="195">
        <v>0</v>
      </c>
      <c r="Q39">
        <v>0</v>
      </c>
      <c r="R39">
        <v>90</v>
      </c>
      <c r="S39">
        <v>0</v>
      </c>
      <c r="T39">
        <v>2166</v>
      </c>
      <c r="U39">
        <v>3081</v>
      </c>
      <c r="V39">
        <v>4</v>
      </c>
      <c r="W39">
        <v>655</v>
      </c>
      <c r="X39">
        <v>628</v>
      </c>
      <c r="Y39">
        <v>24</v>
      </c>
      <c r="Z39" s="195">
        <v>72265000</v>
      </c>
      <c r="AA39" s="195">
        <v>76595000</v>
      </c>
      <c r="AD39" s="139" t="s">
        <v>441</v>
      </c>
    </row>
    <row r="40" spans="1:30" ht="13.15" x14ac:dyDescent="0.25">
      <c r="A40" t="s">
        <v>692</v>
      </c>
      <c r="B40" s="194"/>
      <c r="C40" s="139" t="s">
        <v>246</v>
      </c>
      <c r="D40" s="194">
        <v>17173340.922005013</v>
      </c>
      <c r="E40" s="194">
        <v>1543980</v>
      </c>
      <c r="F40" s="195">
        <v>10717696</v>
      </c>
      <c r="G40" s="195">
        <v>413691.04000000004</v>
      </c>
      <c r="H40" s="195">
        <v>5424112</v>
      </c>
      <c r="I40" s="195">
        <v>3474714.3460082221</v>
      </c>
      <c r="J40" s="195">
        <v>1213</v>
      </c>
      <c r="K40" s="195">
        <v>5789</v>
      </c>
      <c r="L40" s="195">
        <v>199</v>
      </c>
      <c r="M40" s="195">
        <v>94</v>
      </c>
      <c r="N40" s="195">
        <v>55</v>
      </c>
      <c r="O40" s="195">
        <v>0</v>
      </c>
      <c r="P40" s="195">
        <v>27</v>
      </c>
      <c r="Q40">
        <v>0</v>
      </c>
      <c r="R40">
        <v>0</v>
      </c>
      <c r="S40">
        <v>0</v>
      </c>
      <c r="T40">
        <v>2194</v>
      </c>
      <c r="U40">
        <v>1789</v>
      </c>
      <c r="V40">
        <v>50</v>
      </c>
      <c r="W40">
        <v>540</v>
      </c>
      <c r="X40">
        <v>422</v>
      </c>
      <c r="Y40">
        <v>8</v>
      </c>
      <c r="Z40" s="195">
        <v>56337000</v>
      </c>
      <c r="AA40" s="195">
        <v>55353000</v>
      </c>
      <c r="AD40" s="139" t="s">
        <v>246</v>
      </c>
    </row>
    <row r="41" spans="1:30" ht="13.15" x14ac:dyDescent="0.25">
      <c r="A41" t="s">
        <v>691</v>
      </c>
      <c r="B41" s="194"/>
      <c r="C41" s="139" t="s">
        <v>324</v>
      </c>
      <c r="D41" s="194">
        <v>35437181.832859233</v>
      </c>
      <c r="E41" s="194">
        <v>3033858</v>
      </c>
      <c r="F41" s="195">
        <v>18583463</v>
      </c>
      <c r="G41" s="195">
        <v>554081.58000000007</v>
      </c>
      <c r="H41" s="195">
        <v>13523535</v>
      </c>
      <c r="I41" s="195">
        <v>5731827.1804875992</v>
      </c>
      <c r="J41" s="195">
        <v>1753</v>
      </c>
      <c r="K41" s="195">
        <v>6567</v>
      </c>
      <c r="L41" s="195">
        <v>177</v>
      </c>
      <c r="M41" s="195">
        <v>157</v>
      </c>
      <c r="N41" s="195">
        <v>0</v>
      </c>
      <c r="O41" s="195">
        <v>0</v>
      </c>
      <c r="P41" s="195">
        <v>0</v>
      </c>
      <c r="Q41">
        <v>1723</v>
      </c>
      <c r="R41">
        <v>467</v>
      </c>
      <c r="S41">
        <v>6</v>
      </c>
      <c r="T41">
        <v>4269</v>
      </c>
      <c r="U41">
        <v>4569</v>
      </c>
      <c r="V41">
        <v>503</v>
      </c>
      <c r="W41">
        <v>479</v>
      </c>
      <c r="X41">
        <v>672</v>
      </c>
      <c r="Y41">
        <v>70</v>
      </c>
      <c r="Z41" s="195">
        <v>104791000</v>
      </c>
      <c r="AA41" s="195">
        <v>104982000</v>
      </c>
      <c r="AD41" s="139" t="s">
        <v>324</v>
      </c>
    </row>
    <row r="42" spans="1:30" ht="13.15" x14ac:dyDescent="0.25">
      <c r="A42" t="s">
        <v>694</v>
      </c>
      <c r="B42" s="194"/>
      <c r="C42" s="139" t="s">
        <v>368</v>
      </c>
      <c r="D42" s="194">
        <v>18220055.883315463</v>
      </c>
      <c r="E42" s="194">
        <v>1887790</v>
      </c>
      <c r="F42" s="195">
        <v>8112195</v>
      </c>
      <c r="G42" s="195">
        <v>363314.04</v>
      </c>
      <c r="H42" s="195">
        <v>3144655</v>
      </c>
      <c r="I42" s="195">
        <v>1446636.512745644</v>
      </c>
      <c r="J42" s="195">
        <v>915</v>
      </c>
      <c r="K42" s="195">
        <v>4118</v>
      </c>
      <c r="L42" s="195">
        <v>210</v>
      </c>
      <c r="M42" s="195">
        <v>17</v>
      </c>
      <c r="N42" s="195">
        <v>0</v>
      </c>
      <c r="O42" s="195">
        <v>0</v>
      </c>
      <c r="P42" s="195">
        <v>6</v>
      </c>
      <c r="Q42">
        <v>0</v>
      </c>
      <c r="R42">
        <v>140</v>
      </c>
      <c r="S42">
        <v>1</v>
      </c>
      <c r="T42">
        <v>2636</v>
      </c>
      <c r="U42">
        <v>0</v>
      </c>
      <c r="V42">
        <v>340</v>
      </c>
      <c r="W42">
        <v>833</v>
      </c>
      <c r="X42">
        <v>517</v>
      </c>
      <c r="Y42">
        <v>26</v>
      </c>
      <c r="Z42" s="195">
        <v>54802000</v>
      </c>
      <c r="AA42" s="195">
        <v>55209000</v>
      </c>
      <c r="AD42" s="139" t="s">
        <v>368</v>
      </c>
    </row>
    <row r="43" spans="1:30" ht="13.15" x14ac:dyDescent="0.25">
      <c r="A43" t="s">
        <v>690</v>
      </c>
      <c r="B43" s="194"/>
      <c r="C43" s="139" t="s">
        <v>442</v>
      </c>
      <c r="D43" s="194">
        <v>14413458.968997579</v>
      </c>
      <c r="E43" s="194">
        <v>1341592</v>
      </c>
      <c r="F43" s="195">
        <v>10387579</v>
      </c>
      <c r="G43" s="195">
        <v>316888.95</v>
      </c>
      <c r="H43" s="195">
        <v>2099033</v>
      </c>
      <c r="I43" s="195">
        <v>5369003.8092267653</v>
      </c>
      <c r="J43" s="195">
        <v>786</v>
      </c>
      <c r="K43" s="195">
        <v>3034</v>
      </c>
      <c r="L43" s="195">
        <v>0</v>
      </c>
      <c r="M43" s="195">
        <v>1007</v>
      </c>
      <c r="N43" s="195">
        <v>0</v>
      </c>
      <c r="O43" s="195">
        <v>0</v>
      </c>
      <c r="P43" s="195">
        <v>0</v>
      </c>
      <c r="Q43">
        <v>0</v>
      </c>
      <c r="R43">
        <v>0</v>
      </c>
      <c r="S43">
        <v>0</v>
      </c>
      <c r="T43">
        <v>2174</v>
      </c>
      <c r="U43">
        <v>933</v>
      </c>
      <c r="V43">
        <v>0</v>
      </c>
      <c r="W43">
        <v>753</v>
      </c>
      <c r="X43">
        <v>241</v>
      </c>
      <c r="Y43">
        <v>0</v>
      </c>
      <c r="Z43" s="195">
        <v>43953000</v>
      </c>
      <c r="AA43" s="195">
        <v>44276000</v>
      </c>
      <c r="AD43" s="139" t="s">
        <v>442</v>
      </c>
    </row>
    <row r="44" spans="1:30" ht="13.15" x14ac:dyDescent="0.25">
      <c r="A44" t="s">
        <v>691</v>
      </c>
      <c r="B44" s="194"/>
      <c r="C44" s="139" t="s">
        <v>325</v>
      </c>
      <c r="D44" s="194">
        <v>5259647.3396475194</v>
      </c>
      <c r="E44" s="194">
        <v>522561</v>
      </c>
      <c r="F44" s="195">
        <v>2036438</v>
      </c>
      <c r="G44" s="195">
        <v>69566.2</v>
      </c>
      <c r="H44" s="195">
        <v>1459550</v>
      </c>
      <c r="I44" s="195">
        <v>353515.6268035887</v>
      </c>
      <c r="J44" s="195">
        <v>348</v>
      </c>
      <c r="K44" s="195">
        <v>3526</v>
      </c>
      <c r="L44" s="195">
        <v>0</v>
      </c>
      <c r="M44" s="195">
        <v>22</v>
      </c>
      <c r="N44" s="195">
        <v>0</v>
      </c>
      <c r="O44" s="195">
        <v>2</v>
      </c>
      <c r="P44" s="195">
        <v>0</v>
      </c>
      <c r="Q44">
        <v>0</v>
      </c>
      <c r="R44">
        <v>766</v>
      </c>
      <c r="S44">
        <v>0</v>
      </c>
      <c r="T44">
        <v>1030</v>
      </c>
      <c r="U44">
        <v>984</v>
      </c>
      <c r="V44">
        <v>186</v>
      </c>
      <c r="W44">
        <v>1090</v>
      </c>
      <c r="X44">
        <v>210</v>
      </c>
      <c r="Y44">
        <v>0</v>
      </c>
      <c r="Z44" s="195">
        <v>27555000</v>
      </c>
      <c r="AA44" s="195">
        <v>27706000</v>
      </c>
      <c r="AD44" s="139" t="s">
        <v>325</v>
      </c>
    </row>
    <row r="45" spans="1:30" ht="13.15" x14ac:dyDescent="0.25">
      <c r="A45" t="s">
        <v>691</v>
      </c>
      <c r="B45" s="194"/>
      <c r="C45" s="139" t="s">
        <v>326</v>
      </c>
      <c r="D45" s="194">
        <v>12294981.388436876</v>
      </c>
      <c r="E45" s="194">
        <v>1149252</v>
      </c>
      <c r="F45" s="195">
        <v>5039303</v>
      </c>
      <c r="G45" s="195">
        <v>218625.54</v>
      </c>
      <c r="H45" s="195">
        <v>2659562</v>
      </c>
      <c r="I45" s="195">
        <v>943787.98246679502</v>
      </c>
      <c r="J45" s="195">
        <v>499</v>
      </c>
      <c r="K45" s="195">
        <v>6530</v>
      </c>
      <c r="L45" s="195">
        <v>0</v>
      </c>
      <c r="M45" s="195">
        <v>650</v>
      </c>
      <c r="N45" s="195">
        <v>0</v>
      </c>
      <c r="O45" s="195">
        <v>0</v>
      </c>
      <c r="P45" s="195">
        <v>0</v>
      </c>
      <c r="Q45">
        <v>1023</v>
      </c>
      <c r="R45">
        <v>763</v>
      </c>
      <c r="S45">
        <v>1</v>
      </c>
      <c r="T45">
        <v>2746</v>
      </c>
      <c r="U45">
        <v>2541</v>
      </c>
      <c r="V45">
        <v>345</v>
      </c>
      <c r="W45">
        <v>745</v>
      </c>
      <c r="X45">
        <v>534</v>
      </c>
      <c r="Y45">
        <v>0</v>
      </c>
      <c r="Z45" s="195">
        <v>47581000</v>
      </c>
      <c r="AA45" s="195">
        <v>47914000</v>
      </c>
      <c r="AD45" s="139" t="s">
        <v>326</v>
      </c>
    </row>
    <row r="46" spans="1:30" ht="13.15" x14ac:dyDescent="0.25">
      <c r="A46" t="s">
        <v>694</v>
      </c>
      <c r="B46" s="194"/>
      <c r="C46" s="139" t="s">
        <v>369</v>
      </c>
      <c r="D46" s="194">
        <v>23867156.559080772</v>
      </c>
      <c r="E46" s="194">
        <v>1912726</v>
      </c>
      <c r="F46" s="195">
        <v>10302689</v>
      </c>
      <c r="G46" s="195">
        <v>397982.76</v>
      </c>
      <c r="H46" s="195">
        <v>3754005</v>
      </c>
      <c r="I46" s="195">
        <v>2092706.4278131251</v>
      </c>
      <c r="J46" s="195">
        <v>996</v>
      </c>
      <c r="K46" s="195">
        <v>7155</v>
      </c>
      <c r="L46" s="195">
        <v>188</v>
      </c>
      <c r="M46" s="195">
        <v>84</v>
      </c>
      <c r="N46" s="195">
        <v>0</v>
      </c>
      <c r="O46" s="195">
        <v>0</v>
      </c>
      <c r="P46" s="195">
        <v>283</v>
      </c>
      <c r="Q46">
        <v>0</v>
      </c>
      <c r="R46">
        <v>889</v>
      </c>
      <c r="S46">
        <v>0</v>
      </c>
      <c r="T46">
        <v>4892</v>
      </c>
      <c r="U46">
        <v>3391</v>
      </c>
      <c r="V46">
        <v>379</v>
      </c>
      <c r="W46">
        <v>967</v>
      </c>
      <c r="X46">
        <v>523</v>
      </c>
      <c r="Y46">
        <v>59</v>
      </c>
      <c r="Z46" s="195">
        <v>70491000</v>
      </c>
      <c r="AA46" s="195">
        <v>67201000</v>
      </c>
      <c r="AD46" s="139" t="s">
        <v>369</v>
      </c>
    </row>
    <row r="47" spans="1:30" ht="13.15" x14ac:dyDescent="0.25">
      <c r="A47" t="s">
        <v>690</v>
      </c>
      <c r="B47" s="194"/>
      <c r="C47" s="139" t="s">
        <v>443</v>
      </c>
      <c r="D47" s="194">
        <v>6949585.4823445641</v>
      </c>
      <c r="E47" s="194">
        <v>621650</v>
      </c>
      <c r="F47" s="195">
        <v>4453058</v>
      </c>
      <c r="G47" s="195">
        <v>121314.62</v>
      </c>
      <c r="H47" s="195">
        <v>1181830</v>
      </c>
      <c r="I47" s="195">
        <v>1518141.2140302777</v>
      </c>
      <c r="J47" s="195">
        <v>409</v>
      </c>
      <c r="K47" s="195">
        <v>2263</v>
      </c>
      <c r="L47" s="195">
        <v>0</v>
      </c>
      <c r="M47" s="195">
        <v>20</v>
      </c>
      <c r="N47" s="195">
        <v>0</v>
      </c>
      <c r="O47" s="195">
        <v>0</v>
      </c>
      <c r="P47" s="195">
        <v>0</v>
      </c>
      <c r="Q47">
        <v>0</v>
      </c>
      <c r="R47">
        <v>0</v>
      </c>
      <c r="S47">
        <v>0</v>
      </c>
      <c r="T47">
        <v>760</v>
      </c>
      <c r="U47">
        <v>680</v>
      </c>
      <c r="V47">
        <v>102</v>
      </c>
      <c r="W47">
        <v>224</v>
      </c>
      <c r="X47">
        <v>133</v>
      </c>
      <c r="Y47">
        <v>5</v>
      </c>
      <c r="Z47" s="195">
        <v>23609000</v>
      </c>
      <c r="AA47" s="195">
        <v>23525000</v>
      </c>
      <c r="AD47" s="139" t="s">
        <v>443</v>
      </c>
    </row>
    <row r="48" spans="1:30" x14ac:dyDescent="0.2">
      <c r="A48" t="s">
        <v>689</v>
      </c>
      <c r="B48" s="194"/>
      <c r="C48" s="139" t="s">
        <v>163</v>
      </c>
      <c r="D48" s="194">
        <v>21552363.267625175</v>
      </c>
      <c r="E48" s="194">
        <v>2123367</v>
      </c>
      <c r="F48" s="195">
        <v>14384377</v>
      </c>
      <c r="G48" s="195">
        <v>528998.46</v>
      </c>
      <c r="H48" s="195">
        <v>6558920</v>
      </c>
      <c r="I48" s="195">
        <v>6344681.3040160974</v>
      </c>
      <c r="J48" s="195">
        <v>407</v>
      </c>
      <c r="K48" s="195">
        <v>5025</v>
      </c>
      <c r="L48" s="195">
        <v>0</v>
      </c>
      <c r="M48" s="195">
        <v>1320</v>
      </c>
      <c r="N48" s="195">
        <v>0</v>
      </c>
      <c r="O48" s="195">
        <v>0</v>
      </c>
      <c r="P48" s="195">
        <v>139</v>
      </c>
      <c r="Q48">
        <v>0</v>
      </c>
      <c r="R48">
        <v>0</v>
      </c>
      <c r="S48">
        <v>0</v>
      </c>
      <c r="T48">
        <v>2983</v>
      </c>
      <c r="U48">
        <v>1787</v>
      </c>
      <c r="V48">
        <v>180</v>
      </c>
      <c r="W48">
        <v>307</v>
      </c>
      <c r="X48">
        <v>363</v>
      </c>
      <c r="Y48">
        <v>22</v>
      </c>
      <c r="Z48" s="195">
        <v>62117000</v>
      </c>
      <c r="AA48" s="195">
        <v>62719000</v>
      </c>
      <c r="AD48" s="139" t="s">
        <v>163</v>
      </c>
    </row>
    <row r="49" spans="1:30" x14ac:dyDescent="0.2">
      <c r="A49" t="s">
        <v>695</v>
      </c>
      <c r="B49" s="194"/>
      <c r="C49" s="139" t="s">
        <v>218</v>
      </c>
      <c r="D49" s="194">
        <v>15513979.375752859</v>
      </c>
      <c r="E49" s="194">
        <v>1647993</v>
      </c>
      <c r="F49" s="195">
        <v>10420597</v>
      </c>
      <c r="G49" s="195">
        <v>234140.9</v>
      </c>
      <c r="H49" s="195">
        <v>4103476</v>
      </c>
      <c r="I49" s="195">
        <v>3364842.9301735628</v>
      </c>
      <c r="J49" s="195">
        <v>604</v>
      </c>
      <c r="K49" s="195">
        <v>3914</v>
      </c>
      <c r="L49" s="195">
        <v>97</v>
      </c>
      <c r="M49" s="195">
        <v>0</v>
      </c>
      <c r="N49" s="195">
        <v>145</v>
      </c>
      <c r="O49" s="195">
        <v>0</v>
      </c>
      <c r="P49" s="195">
        <v>0</v>
      </c>
      <c r="Q49">
        <v>10</v>
      </c>
      <c r="R49">
        <v>0</v>
      </c>
      <c r="S49">
        <v>0</v>
      </c>
      <c r="T49">
        <v>1720</v>
      </c>
      <c r="U49">
        <v>2207</v>
      </c>
      <c r="V49">
        <v>125</v>
      </c>
      <c r="W49">
        <v>410</v>
      </c>
      <c r="X49">
        <v>343</v>
      </c>
      <c r="Y49">
        <v>32</v>
      </c>
      <c r="Z49" s="195">
        <v>63112000</v>
      </c>
      <c r="AA49" s="195">
        <v>62606000</v>
      </c>
      <c r="AD49" s="139" t="s">
        <v>218</v>
      </c>
    </row>
    <row r="50" spans="1:30" x14ac:dyDescent="0.2">
      <c r="A50" t="s">
        <v>701</v>
      </c>
      <c r="B50" s="194"/>
      <c r="C50" s="139" t="s">
        <v>421</v>
      </c>
      <c r="D50" s="194">
        <v>15915439.910600867</v>
      </c>
      <c r="E50" s="194">
        <v>1452281</v>
      </c>
      <c r="F50" s="195">
        <v>8201704</v>
      </c>
      <c r="G50" s="195">
        <v>688482.6</v>
      </c>
      <c r="H50" s="195">
        <v>2975236</v>
      </c>
      <c r="I50" s="195">
        <v>1879850.9429115646</v>
      </c>
      <c r="J50" s="195">
        <v>2092</v>
      </c>
      <c r="K50" s="195">
        <v>5100</v>
      </c>
      <c r="L50" s="195">
        <v>130</v>
      </c>
      <c r="M50" s="195">
        <v>0</v>
      </c>
      <c r="N50" s="195">
        <v>0</v>
      </c>
      <c r="O50" s="195">
        <v>0</v>
      </c>
      <c r="P50" s="195">
        <v>24</v>
      </c>
      <c r="Q50">
        <v>0</v>
      </c>
      <c r="R50">
        <v>0</v>
      </c>
      <c r="S50">
        <v>0</v>
      </c>
      <c r="T50">
        <v>1465</v>
      </c>
      <c r="U50">
        <v>2713</v>
      </c>
      <c r="V50">
        <v>302</v>
      </c>
      <c r="W50">
        <v>1046</v>
      </c>
      <c r="X50">
        <v>371</v>
      </c>
      <c r="Y50">
        <v>0</v>
      </c>
      <c r="Z50" s="195">
        <v>47901000</v>
      </c>
      <c r="AA50" s="195">
        <v>48636000</v>
      </c>
      <c r="AD50" s="139" t="s">
        <v>421</v>
      </c>
    </row>
    <row r="51" spans="1:30" x14ac:dyDescent="0.2">
      <c r="A51" t="s">
        <v>690</v>
      </c>
      <c r="B51" s="194"/>
      <c r="C51" s="139" t="s">
        <v>444</v>
      </c>
      <c r="D51" s="194">
        <v>21580562.514881097</v>
      </c>
      <c r="E51" s="194">
        <v>2114754</v>
      </c>
      <c r="F51" s="195">
        <v>14256582</v>
      </c>
      <c r="G51" s="195">
        <v>444089.75</v>
      </c>
      <c r="H51" s="195">
        <v>4699296</v>
      </c>
      <c r="I51" s="195">
        <v>5313933.7409249805</v>
      </c>
      <c r="J51" s="195">
        <v>1041</v>
      </c>
      <c r="K51" s="195">
        <v>4871</v>
      </c>
      <c r="L51" s="195">
        <v>0</v>
      </c>
      <c r="M51" s="195">
        <v>210</v>
      </c>
      <c r="N51" s="195">
        <v>80</v>
      </c>
      <c r="O51" s="195">
        <v>10</v>
      </c>
      <c r="P51" s="195">
        <v>51</v>
      </c>
      <c r="Q51">
        <v>0</v>
      </c>
      <c r="R51">
        <v>0</v>
      </c>
      <c r="S51">
        <v>0</v>
      </c>
      <c r="T51">
        <v>2873</v>
      </c>
      <c r="U51">
        <v>1905</v>
      </c>
      <c r="V51">
        <v>75</v>
      </c>
      <c r="W51">
        <v>750</v>
      </c>
      <c r="X51">
        <v>555</v>
      </c>
      <c r="Y51">
        <v>8</v>
      </c>
      <c r="Z51" s="195">
        <v>68611000</v>
      </c>
      <c r="AA51" s="195">
        <v>69522000</v>
      </c>
      <c r="AD51" s="139" t="s">
        <v>444</v>
      </c>
    </row>
    <row r="52" spans="1:30" x14ac:dyDescent="0.2">
      <c r="A52" t="s">
        <v>690</v>
      </c>
      <c r="B52" s="194"/>
      <c r="C52" s="139" t="s">
        <v>445</v>
      </c>
      <c r="D52" s="194">
        <v>22962871.462488323</v>
      </c>
      <c r="E52" s="194">
        <v>2189687</v>
      </c>
      <c r="F52" s="195">
        <v>20855175</v>
      </c>
      <c r="G52" s="195">
        <v>382935.16000000003</v>
      </c>
      <c r="H52" s="195">
        <v>5907704</v>
      </c>
      <c r="I52" s="195">
        <v>8617442.0733256992</v>
      </c>
      <c r="J52" s="195">
        <v>1003</v>
      </c>
      <c r="K52" s="195">
        <v>5416</v>
      </c>
      <c r="L52" s="195">
        <v>0</v>
      </c>
      <c r="M52" s="195">
        <v>26</v>
      </c>
      <c r="N52" s="195">
        <v>54</v>
      </c>
      <c r="O52" s="195">
        <v>0</v>
      </c>
      <c r="P52" s="195">
        <v>0</v>
      </c>
      <c r="Q52">
        <v>473</v>
      </c>
      <c r="R52">
        <v>14</v>
      </c>
      <c r="S52">
        <v>0</v>
      </c>
      <c r="T52">
        <v>2781</v>
      </c>
      <c r="U52">
        <v>2659</v>
      </c>
      <c r="V52">
        <v>169</v>
      </c>
      <c r="W52">
        <v>709</v>
      </c>
      <c r="X52">
        <v>503</v>
      </c>
      <c r="Y52">
        <v>32</v>
      </c>
      <c r="Z52" s="195">
        <v>90314000</v>
      </c>
      <c r="AA52" s="195">
        <v>86683000</v>
      </c>
      <c r="AD52" s="139" t="s">
        <v>445</v>
      </c>
    </row>
    <row r="53" spans="1:30" x14ac:dyDescent="0.2">
      <c r="A53" t="s">
        <v>690</v>
      </c>
      <c r="B53" s="194"/>
      <c r="C53" s="139" t="s">
        <v>446</v>
      </c>
      <c r="D53" s="194">
        <v>157078867.73689717</v>
      </c>
      <c r="E53" s="194">
        <v>12800531</v>
      </c>
      <c r="F53" s="195">
        <v>116637231</v>
      </c>
      <c r="G53" s="195">
        <v>15830289.1</v>
      </c>
      <c r="H53" s="195">
        <v>64366308</v>
      </c>
      <c r="I53" s="195">
        <v>30325997.35562421</v>
      </c>
      <c r="J53" s="195">
        <v>6015</v>
      </c>
      <c r="K53" s="195">
        <v>28601</v>
      </c>
      <c r="L53" s="195">
        <v>1000</v>
      </c>
      <c r="M53" s="195">
        <v>600</v>
      </c>
      <c r="N53" s="195">
        <v>31</v>
      </c>
      <c r="O53" s="195">
        <v>0</v>
      </c>
      <c r="P53" s="195">
        <v>0</v>
      </c>
      <c r="Q53">
        <v>13721</v>
      </c>
      <c r="R53">
        <v>944</v>
      </c>
      <c r="S53">
        <v>0</v>
      </c>
      <c r="T53">
        <v>14936</v>
      </c>
      <c r="U53">
        <v>22280</v>
      </c>
      <c r="V53">
        <v>90</v>
      </c>
      <c r="W53">
        <v>3736</v>
      </c>
      <c r="X53">
        <v>3254</v>
      </c>
      <c r="Y53">
        <v>201</v>
      </c>
      <c r="Z53" s="195">
        <v>600074992</v>
      </c>
      <c r="AA53" s="195">
        <v>603893000</v>
      </c>
      <c r="AD53" s="139" t="s">
        <v>446</v>
      </c>
    </row>
    <row r="54" spans="1:30" x14ac:dyDescent="0.2">
      <c r="A54" t="s">
        <v>694</v>
      </c>
      <c r="B54" s="194"/>
      <c r="C54" s="139" t="s">
        <v>370</v>
      </c>
      <c r="D54" s="194">
        <v>12290337.988650583</v>
      </c>
      <c r="E54" s="194">
        <v>1053450</v>
      </c>
      <c r="F54" s="195">
        <v>4524645</v>
      </c>
      <c r="G54" s="195">
        <v>169496.52</v>
      </c>
      <c r="H54" s="195">
        <v>2804738</v>
      </c>
      <c r="I54" s="195">
        <v>783746.37551066885</v>
      </c>
      <c r="J54" s="195">
        <v>270</v>
      </c>
      <c r="K54" s="195">
        <v>2193</v>
      </c>
      <c r="L54" s="195">
        <v>106</v>
      </c>
      <c r="M54" s="195">
        <v>236</v>
      </c>
      <c r="N54" s="195">
        <v>80</v>
      </c>
      <c r="O54" s="195">
        <v>0</v>
      </c>
      <c r="P54" s="195">
        <v>2</v>
      </c>
      <c r="Q54">
        <v>0</v>
      </c>
      <c r="R54">
        <v>72</v>
      </c>
      <c r="S54">
        <v>0</v>
      </c>
      <c r="T54">
        <v>1696</v>
      </c>
      <c r="U54">
        <v>1192</v>
      </c>
      <c r="V54">
        <v>96</v>
      </c>
      <c r="W54">
        <v>158</v>
      </c>
      <c r="X54">
        <v>291</v>
      </c>
      <c r="Y54">
        <v>17</v>
      </c>
      <c r="Z54" s="195">
        <v>41404000</v>
      </c>
      <c r="AA54" s="195">
        <v>47912000</v>
      </c>
      <c r="AD54" s="139" t="s">
        <v>370</v>
      </c>
    </row>
    <row r="55" spans="1:30" x14ac:dyDescent="0.2">
      <c r="A55" t="s">
        <v>692</v>
      </c>
      <c r="B55" s="194"/>
      <c r="C55" s="139" t="s">
        <v>247</v>
      </c>
      <c r="D55" s="194">
        <v>26151953.304640383</v>
      </c>
      <c r="E55" s="194">
        <v>3003282</v>
      </c>
      <c r="F55" s="195">
        <v>15029054</v>
      </c>
      <c r="G55" s="195">
        <v>528224.86</v>
      </c>
      <c r="H55" s="195">
        <v>4643595</v>
      </c>
      <c r="I55" s="195">
        <v>4824356.8182483856</v>
      </c>
      <c r="J55" s="195">
        <v>903</v>
      </c>
      <c r="K55" s="195">
        <v>6107</v>
      </c>
      <c r="L55" s="195">
        <v>0</v>
      </c>
      <c r="M55" s="195">
        <v>270</v>
      </c>
      <c r="N55" s="195">
        <v>0</v>
      </c>
      <c r="O55" s="195">
        <v>19</v>
      </c>
      <c r="P55" s="195">
        <v>50</v>
      </c>
      <c r="Q55">
        <v>0</v>
      </c>
      <c r="R55">
        <v>0</v>
      </c>
      <c r="S55">
        <v>0</v>
      </c>
      <c r="T55">
        <v>4144</v>
      </c>
      <c r="U55">
        <v>3117</v>
      </c>
      <c r="V55">
        <v>407</v>
      </c>
      <c r="W55">
        <v>774</v>
      </c>
      <c r="X55">
        <v>632</v>
      </c>
      <c r="Y55">
        <v>0</v>
      </c>
      <c r="Z55" s="195">
        <v>72160000</v>
      </c>
      <c r="AA55" s="195">
        <v>72886000</v>
      </c>
      <c r="AD55" s="139" t="s">
        <v>247</v>
      </c>
    </row>
    <row r="56" spans="1:30" x14ac:dyDescent="0.2">
      <c r="A56" t="s">
        <v>692</v>
      </c>
      <c r="B56" s="194"/>
      <c r="C56" s="139" t="s">
        <v>248</v>
      </c>
      <c r="D56" s="194">
        <v>14978775.058627829</v>
      </c>
      <c r="E56" s="194">
        <v>1772222</v>
      </c>
      <c r="F56" s="195">
        <v>8967740</v>
      </c>
      <c r="G56" s="195">
        <v>255421.46</v>
      </c>
      <c r="H56" s="195">
        <v>4072434</v>
      </c>
      <c r="I56" s="195">
        <v>2569083.8540663151</v>
      </c>
      <c r="J56" s="195">
        <v>450</v>
      </c>
      <c r="K56" s="195">
        <v>3053</v>
      </c>
      <c r="L56" s="195">
        <v>0</v>
      </c>
      <c r="M56" s="195">
        <v>654</v>
      </c>
      <c r="N56" s="195">
        <v>0</v>
      </c>
      <c r="O56" s="195">
        <v>0</v>
      </c>
      <c r="P56" s="195">
        <v>0</v>
      </c>
      <c r="Q56">
        <v>0</v>
      </c>
      <c r="R56">
        <v>0</v>
      </c>
      <c r="S56">
        <v>0</v>
      </c>
      <c r="T56">
        <v>2876</v>
      </c>
      <c r="U56">
        <v>1678</v>
      </c>
      <c r="V56">
        <v>91</v>
      </c>
      <c r="W56">
        <v>376</v>
      </c>
      <c r="X56">
        <v>362</v>
      </c>
      <c r="Y56">
        <v>0</v>
      </c>
      <c r="Z56" s="195">
        <v>44286000</v>
      </c>
      <c r="AA56" s="195">
        <v>44750000</v>
      </c>
      <c r="AD56" s="139" t="s">
        <v>248</v>
      </c>
    </row>
    <row r="57" spans="1:30" x14ac:dyDescent="0.2">
      <c r="A57" t="s">
        <v>699</v>
      </c>
      <c r="B57" s="194"/>
      <c r="C57" s="139" t="s">
        <v>499</v>
      </c>
      <c r="D57" s="194">
        <v>25469983.369398482</v>
      </c>
      <c r="E57" s="194">
        <v>3189077</v>
      </c>
      <c r="F57" s="195">
        <v>24621335</v>
      </c>
      <c r="G57" s="195">
        <v>523963.28</v>
      </c>
      <c r="H57" s="195">
        <v>12542223</v>
      </c>
      <c r="I57" s="195">
        <v>12258577.332388375</v>
      </c>
      <c r="J57" s="195">
        <v>569</v>
      </c>
      <c r="K57" s="195">
        <v>4384</v>
      </c>
      <c r="L57" s="195">
        <v>306</v>
      </c>
      <c r="M57" s="195">
        <v>41</v>
      </c>
      <c r="N57" s="195">
        <v>38</v>
      </c>
      <c r="O57" s="195">
        <v>0</v>
      </c>
      <c r="P57" s="195">
        <v>0</v>
      </c>
      <c r="Q57">
        <v>0</v>
      </c>
      <c r="R57">
        <v>21</v>
      </c>
      <c r="S57">
        <v>0</v>
      </c>
      <c r="T57">
        <v>3847</v>
      </c>
      <c r="U57">
        <v>3034</v>
      </c>
      <c r="V57">
        <v>93</v>
      </c>
      <c r="W57">
        <v>407</v>
      </c>
      <c r="X57">
        <v>439</v>
      </c>
      <c r="Y57">
        <v>19</v>
      </c>
      <c r="Z57" s="195">
        <v>97898000</v>
      </c>
      <c r="AA57" s="195">
        <v>102837000</v>
      </c>
      <c r="AD57" s="139" t="s">
        <v>499</v>
      </c>
    </row>
    <row r="58" spans="1:30" x14ac:dyDescent="0.2">
      <c r="A58" t="s">
        <v>697</v>
      </c>
      <c r="B58" s="194"/>
      <c r="C58" s="139" t="s">
        <v>296</v>
      </c>
      <c r="D58" s="194">
        <v>8947961.6104719564</v>
      </c>
      <c r="E58" s="194">
        <v>833601</v>
      </c>
      <c r="F58" s="195">
        <v>3694151</v>
      </c>
      <c r="G58" s="195">
        <v>134306.70000000001</v>
      </c>
      <c r="H58" s="195">
        <v>1634760</v>
      </c>
      <c r="I58" s="195">
        <v>482357.43892536761</v>
      </c>
      <c r="J58" s="195">
        <v>710</v>
      </c>
      <c r="K58" s="195">
        <v>4003</v>
      </c>
      <c r="L58" s="195">
        <v>74</v>
      </c>
      <c r="M58" s="195">
        <v>113</v>
      </c>
      <c r="N58" s="195">
        <v>0</v>
      </c>
      <c r="O58" s="195">
        <v>0</v>
      </c>
      <c r="P58" s="195">
        <v>0</v>
      </c>
      <c r="Q58">
        <v>0</v>
      </c>
      <c r="R58">
        <v>0</v>
      </c>
      <c r="S58">
        <v>0</v>
      </c>
      <c r="T58">
        <v>1133</v>
      </c>
      <c r="U58">
        <v>1159</v>
      </c>
      <c r="V58">
        <v>0</v>
      </c>
      <c r="W58">
        <v>321</v>
      </c>
      <c r="X58">
        <v>228</v>
      </c>
      <c r="Y58">
        <v>6</v>
      </c>
      <c r="Z58" s="195">
        <v>26038000</v>
      </c>
      <c r="AA58" s="195">
        <v>26919000</v>
      </c>
      <c r="AD58" s="139" t="s">
        <v>296</v>
      </c>
    </row>
    <row r="59" spans="1:30" x14ac:dyDescent="0.2">
      <c r="A59" t="s">
        <v>697</v>
      </c>
      <c r="B59" s="194"/>
      <c r="C59" s="139" t="s">
        <v>297</v>
      </c>
      <c r="D59" s="194">
        <v>12791996.437704008</v>
      </c>
      <c r="E59" s="194">
        <v>986278</v>
      </c>
      <c r="F59" s="195">
        <v>6106499</v>
      </c>
      <c r="G59" s="195">
        <v>208092.98</v>
      </c>
      <c r="H59" s="195">
        <v>2034959</v>
      </c>
      <c r="I59" s="195">
        <v>1233388.0123202351</v>
      </c>
      <c r="J59" s="195">
        <v>620</v>
      </c>
      <c r="K59" s="195">
        <v>3065</v>
      </c>
      <c r="L59" s="195">
        <v>102</v>
      </c>
      <c r="M59" s="195">
        <v>0</v>
      </c>
      <c r="N59" s="195">
        <v>0</v>
      </c>
      <c r="O59" s="195">
        <v>0</v>
      </c>
      <c r="P59" s="195">
        <v>9</v>
      </c>
      <c r="Q59">
        <v>0</v>
      </c>
      <c r="R59">
        <v>854</v>
      </c>
      <c r="S59">
        <v>1</v>
      </c>
      <c r="T59">
        <v>1201</v>
      </c>
      <c r="U59">
        <v>1258</v>
      </c>
      <c r="V59">
        <v>324</v>
      </c>
      <c r="W59">
        <v>515</v>
      </c>
      <c r="X59">
        <v>370</v>
      </c>
      <c r="Y59">
        <v>61</v>
      </c>
      <c r="Z59" s="195">
        <v>41080000</v>
      </c>
      <c r="AA59" s="195">
        <v>38774000</v>
      </c>
      <c r="AD59" s="139" t="s">
        <v>297</v>
      </c>
    </row>
    <row r="60" spans="1:30" x14ac:dyDescent="0.2">
      <c r="A60" t="s">
        <v>692</v>
      </c>
      <c r="B60" s="194"/>
      <c r="C60" s="139" t="s">
        <v>249</v>
      </c>
      <c r="D60" s="194">
        <v>17565798.26054443</v>
      </c>
      <c r="E60" s="194">
        <v>1443575</v>
      </c>
      <c r="F60" s="195">
        <v>8888800</v>
      </c>
      <c r="G60" s="195">
        <v>429805.5</v>
      </c>
      <c r="H60" s="195">
        <v>2987941</v>
      </c>
      <c r="I60" s="195">
        <v>2479851.488877051</v>
      </c>
      <c r="J60" s="195">
        <v>624</v>
      </c>
      <c r="K60" s="195">
        <v>4412</v>
      </c>
      <c r="L60" s="195">
        <v>212</v>
      </c>
      <c r="M60" s="195">
        <v>182</v>
      </c>
      <c r="N60" s="195">
        <v>0</v>
      </c>
      <c r="O60" s="195">
        <v>0</v>
      </c>
      <c r="P60" s="195">
        <v>0</v>
      </c>
      <c r="Q60">
        <v>0</v>
      </c>
      <c r="R60">
        <v>1193</v>
      </c>
      <c r="S60">
        <v>0</v>
      </c>
      <c r="T60">
        <v>2520</v>
      </c>
      <c r="U60">
        <v>0</v>
      </c>
      <c r="V60">
        <v>420</v>
      </c>
      <c r="W60">
        <v>825</v>
      </c>
      <c r="X60">
        <v>445</v>
      </c>
      <c r="Y60">
        <v>0</v>
      </c>
      <c r="Z60" s="195">
        <v>49880000</v>
      </c>
      <c r="AA60" s="195">
        <v>50164000</v>
      </c>
      <c r="AD60" s="139" t="s">
        <v>249</v>
      </c>
    </row>
    <row r="61" spans="1:30" x14ac:dyDescent="0.2">
      <c r="A61" t="s">
        <v>694</v>
      </c>
      <c r="B61" s="194"/>
      <c r="C61" s="139" t="s">
        <v>371</v>
      </c>
      <c r="D61" s="194">
        <v>62903247.525345162</v>
      </c>
      <c r="E61" s="194">
        <v>4943729</v>
      </c>
      <c r="F61" s="195">
        <v>34702852</v>
      </c>
      <c r="G61" s="195">
        <v>917884.76</v>
      </c>
      <c r="H61" s="195">
        <v>29094956</v>
      </c>
      <c r="I61" s="195">
        <v>10335532.427572822</v>
      </c>
      <c r="J61" s="195">
        <v>1853</v>
      </c>
      <c r="K61" s="195">
        <v>9562</v>
      </c>
      <c r="L61" s="195">
        <v>330</v>
      </c>
      <c r="M61" s="195">
        <v>48</v>
      </c>
      <c r="N61" s="195">
        <v>0</v>
      </c>
      <c r="O61" s="195">
        <v>0</v>
      </c>
      <c r="P61" s="195">
        <v>0</v>
      </c>
      <c r="Q61">
        <v>0</v>
      </c>
      <c r="R61">
        <v>0</v>
      </c>
      <c r="S61">
        <v>0</v>
      </c>
      <c r="T61">
        <v>4095</v>
      </c>
      <c r="U61">
        <v>7038</v>
      </c>
      <c r="V61">
        <v>0</v>
      </c>
      <c r="W61">
        <v>300</v>
      </c>
      <c r="X61">
        <v>1249</v>
      </c>
      <c r="Y61">
        <v>80</v>
      </c>
      <c r="Z61" s="195">
        <v>184079000</v>
      </c>
      <c r="AA61" s="195">
        <v>185524000</v>
      </c>
      <c r="AD61" s="139" t="s">
        <v>371</v>
      </c>
    </row>
    <row r="62" spans="1:30" x14ac:dyDescent="0.2">
      <c r="A62" t="s">
        <v>691</v>
      </c>
      <c r="B62" s="194"/>
      <c r="C62" s="139" t="s">
        <v>327</v>
      </c>
      <c r="D62" s="194">
        <v>23642758.107074663</v>
      </c>
      <c r="E62" s="194">
        <v>2241715</v>
      </c>
      <c r="F62" s="195">
        <v>9226932</v>
      </c>
      <c r="G62" s="195">
        <v>367576.32000000001</v>
      </c>
      <c r="H62" s="195">
        <v>3811993</v>
      </c>
      <c r="I62" s="195">
        <v>1344210.7946651524</v>
      </c>
      <c r="J62" s="195">
        <v>739</v>
      </c>
      <c r="K62" s="195">
        <v>5122</v>
      </c>
      <c r="L62" s="195">
        <v>120</v>
      </c>
      <c r="M62" s="195">
        <v>766</v>
      </c>
      <c r="N62" s="195">
        <v>65</v>
      </c>
      <c r="O62" s="195">
        <v>0</v>
      </c>
      <c r="P62" s="195">
        <v>22</v>
      </c>
      <c r="Q62">
        <v>0</v>
      </c>
      <c r="R62">
        <v>227</v>
      </c>
      <c r="S62">
        <v>0</v>
      </c>
      <c r="T62">
        <v>2985</v>
      </c>
      <c r="U62">
        <v>3480</v>
      </c>
      <c r="V62">
        <v>130</v>
      </c>
      <c r="W62">
        <v>1025</v>
      </c>
      <c r="X62">
        <v>683</v>
      </c>
      <c r="Y62">
        <v>24</v>
      </c>
      <c r="Z62" s="195">
        <v>61944000</v>
      </c>
      <c r="AA62" s="195">
        <v>61949000</v>
      </c>
      <c r="AD62" s="139" t="s">
        <v>327</v>
      </c>
    </row>
    <row r="63" spans="1:30" x14ac:dyDescent="0.2">
      <c r="A63" t="s">
        <v>689</v>
      </c>
      <c r="B63" s="194"/>
      <c r="C63" s="139" t="s">
        <v>164</v>
      </c>
      <c r="D63" s="194">
        <v>30931701.959218465</v>
      </c>
      <c r="E63" s="194">
        <v>3054809</v>
      </c>
      <c r="F63" s="195">
        <v>17739955</v>
      </c>
      <c r="G63" s="195">
        <v>695615.94</v>
      </c>
      <c r="H63" s="195">
        <v>11370975</v>
      </c>
      <c r="I63" s="195">
        <v>5992004.1940848976</v>
      </c>
      <c r="J63" s="195">
        <v>1193</v>
      </c>
      <c r="K63" s="195">
        <v>6777</v>
      </c>
      <c r="L63" s="195">
        <v>0</v>
      </c>
      <c r="M63" s="195">
        <v>1688</v>
      </c>
      <c r="N63" s="195">
        <v>79</v>
      </c>
      <c r="O63" s="195">
        <v>0</v>
      </c>
      <c r="P63" s="195">
        <v>91</v>
      </c>
      <c r="Q63">
        <v>0</v>
      </c>
      <c r="R63">
        <v>0</v>
      </c>
      <c r="S63">
        <v>0</v>
      </c>
      <c r="T63">
        <v>3413</v>
      </c>
      <c r="U63">
        <v>4231</v>
      </c>
      <c r="V63">
        <v>487</v>
      </c>
      <c r="W63">
        <v>688</v>
      </c>
      <c r="X63">
        <v>564</v>
      </c>
      <c r="Y63">
        <v>28</v>
      </c>
      <c r="Z63" s="195">
        <v>94938000</v>
      </c>
      <c r="AA63" s="195">
        <v>95184000</v>
      </c>
      <c r="AD63" s="139" t="s">
        <v>164</v>
      </c>
    </row>
    <row r="64" spans="1:30" x14ac:dyDescent="0.2">
      <c r="A64" t="s">
        <v>690</v>
      </c>
      <c r="B64" s="194"/>
      <c r="C64" s="139" t="s">
        <v>447</v>
      </c>
      <c r="D64" s="194">
        <v>14645898.78284141</v>
      </c>
      <c r="E64" s="194">
        <v>1492089</v>
      </c>
      <c r="F64" s="195">
        <v>7533319</v>
      </c>
      <c r="G64" s="195">
        <v>834424.56</v>
      </c>
      <c r="H64" s="195">
        <v>3281061</v>
      </c>
      <c r="I64" s="195">
        <v>2565126.7133840234</v>
      </c>
      <c r="J64" s="195">
        <v>773</v>
      </c>
      <c r="K64" s="195">
        <v>3769</v>
      </c>
      <c r="L64" s="195">
        <v>0</v>
      </c>
      <c r="M64" s="195">
        <v>103</v>
      </c>
      <c r="N64" s="195">
        <v>30</v>
      </c>
      <c r="O64" s="195">
        <v>1</v>
      </c>
      <c r="P64" s="195">
        <v>0</v>
      </c>
      <c r="Q64">
        <v>0</v>
      </c>
      <c r="R64">
        <v>11</v>
      </c>
      <c r="S64">
        <v>0</v>
      </c>
      <c r="T64">
        <v>1686</v>
      </c>
      <c r="U64">
        <v>1679</v>
      </c>
      <c r="V64">
        <v>142</v>
      </c>
      <c r="W64">
        <v>379</v>
      </c>
      <c r="X64">
        <v>345</v>
      </c>
      <c r="Y64">
        <v>17</v>
      </c>
      <c r="Z64" s="195">
        <v>44439000</v>
      </c>
      <c r="AA64" s="195">
        <v>45354000</v>
      </c>
      <c r="AD64" s="139" t="s">
        <v>447</v>
      </c>
    </row>
    <row r="65" spans="1:30" x14ac:dyDescent="0.2">
      <c r="A65" t="s">
        <v>694</v>
      </c>
      <c r="B65" s="194"/>
      <c r="C65" s="139" t="s">
        <v>372</v>
      </c>
      <c r="D65" s="194">
        <v>8591842.6614742931</v>
      </c>
      <c r="E65" s="194">
        <v>891670</v>
      </c>
      <c r="F65" s="195">
        <v>3990096</v>
      </c>
      <c r="G65" s="195">
        <v>193170.14</v>
      </c>
      <c r="H65" s="195">
        <v>1091948</v>
      </c>
      <c r="I65" s="195">
        <v>680150.27552917076</v>
      </c>
      <c r="J65" s="195">
        <v>434</v>
      </c>
      <c r="K65" s="195">
        <v>2126</v>
      </c>
      <c r="L65" s="195">
        <v>58</v>
      </c>
      <c r="M65" s="195">
        <v>50</v>
      </c>
      <c r="N65" s="195">
        <v>0</v>
      </c>
      <c r="O65" s="195">
        <v>9</v>
      </c>
      <c r="P65" s="195">
        <v>0</v>
      </c>
      <c r="Q65">
        <v>0</v>
      </c>
      <c r="R65">
        <v>165</v>
      </c>
      <c r="S65">
        <v>0</v>
      </c>
      <c r="T65">
        <v>1109</v>
      </c>
      <c r="U65">
        <v>0</v>
      </c>
      <c r="V65">
        <v>294</v>
      </c>
      <c r="W65">
        <v>239</v>
      </c>
      <c r="X65">
        <v>248</v>
      </c>
      <c r="Y65">
        <v>4</v>
      </c>
      <c r="Z65" s="195">
        <v>21299000</v>
      </c>
      <c r="AA65" s="195">
        <v>21464000</v>
      </c>
      <c r="AD65" s="139" t="s">
        <v>372</v>
      </c>
    </row>
    <row r="66" spans="1:30" x14ac:dyDescent="0.2">
      <c r="A66" t="s">
        <v>690</v>
      </c>
      <c r="B66" s="194"/>
      <c r="C66" s="139" t="s">
        <v>448</v>
      </c>
      <c r="D66" s="194">
        <v>18670912.769764155</v>
      </c>
      <c r="E66" s="194">
        <v>1921300</v>
      </c>
      <c r="F66" s="195">
        <v>15221332</v>
      </c>
      <c r="G66" s="195">
        <v>523553.86</v>
      </c>
      <c r="H66" s="195">
        <v>5445963</v>
      </c>
      <c r="I66" s="195">
        <v>6435956.5900321137</v>
      </c>
      <c r="J66" s="195">
        <v>741</v>
      </c>
      <c r="K66" s="195">
        <v>3533</v>
      </c>
      <c r="L66" s="195">
        <v>0</v>
      </c>
      <c r="M66" s="195">
        <v>208</v>
      </c>
      <c r="N66" s="195">
        <v>65</v>
      </c>
      <c r="O66" s="195">
        <v>28</v>
      </c>
      <c r="P66" s="195">
        <v>0</v>
      </c>
      <c r="Q66">
        <v>129</v>
      </c>
      <c r="R66">
        <v>0</v>
      </c>
      <c r="S66">
        <v>0</v>
      </c>
      <c r="T66">
        <v>2159</v>
      </c>
      <c r="U66">
        <v>1366</v>
      </c>
      <c r="V66">
        <v>124</v>
      </c>
      <c r="W66">
        <v>606</v>
      </c>
      <c r="X66">
        <v>424</v>
      </c>
      <c r="Y66">
        <v>12</v>
      </c>
      <c r="Z66" s="195">
        <v>69179000</v>
      </c>
      <c r="AA66" s="195">
        <v>70771000</v>
      </c>
      <c r="AD66" s="139" t="s">
        <v>448</v>
      </c>
    </row>
    <row r="67" spans="1:30" x14ac:dyDescent="0.2">
      <c r="A67" t="s">
        <v>692</v>
      </c>
      <c r="B67" s="194"/>
      <c r="C67" s="139" t="s">
        <v>250</v>
      </c>
      <c r="D67" s="194">
        <v>24370636.810212217</v>
      </c>
      <c r="E67" s="194">
        <v>1649013</v>
      </c>
      <c r="F67" s="195">
        <v>12216644</v>
      </c>
      <c r="G67" s="195">
        <v>424445.58</v>
      </c>
      <c r="H67" s="195">
        <v>7464714</v>
      </c>
      <c r="I67" s="195">
        <v>4174069.9920361973</v>
      </c>
      <c r="J67" s="195">
        <v>1038</v>
      </c>
      <c r="K67" s="195">
        <v>4501</v>
      </c>
      <c r="L67" s="195">
        <v>85</v>
      </c>
      <c r="M67" s="195">
        <v>41</v>
      </c>
      <c r="N67" s="195">
        <v>20</v>
      </c>
      <c r="O67" s="195">
        <v>0</v>
      </c>
      <c r="P67" s="195">
        <v>0</v>
      </c>
      <c r="Q67">
        <v>628</v>
      </c>
      <c r="R67">
        <v>508</v>
      </c>
      <c r="S67">
        <v>0</v>
      </c>
      <c r="T67">
        <v>3374</v>
      </c>
      <c r="U67">
        <v>0</v>
      </c>
      <c r="V67">
        <v>0</v>
      </c>
      <c r="W67">
        <v>802</v>
      </c>
      <c r="X67">
        <v>503</v>
      </c>
      <c r="Y67">
        <v>31</v>
      </c>
      <c r="Z67" s="195">
        <v>74408000</v>
      </c>
      <c r="AA67" s="195">
        <v>76731000</v>
      </c>
      <c r="AD67" s="139" t="s">
        <v>250</v>
      </c>
    </row>
    <row r="68" spans="1:30" x14ac:dyDescent="0.2">
      <c r="A68" t="s">
        <v>695</v>
      </c>
      <c r="B68" s="194"/>
      <c r="C68" s="139" t="s">
        <v>219</v>
      </c>
      <c r="D68" s="194">
        <v>18834477.769870672</v>
      </c>
      <c r="E68" s="194">
        <v>1775184</v>
      </c>
      <c r="F68" s="195">
        <v>10652373</v>
      </c>
      <c r="G68" s="195">
        <v>287238.02</v>
      </c>
      <c r="H68" s="195">
        <v>2943398</v>
      </c>
      <c r="I68" s="195">
        <v>3257718.5335211991</v>
      </c>
      <c r="J68" s="195">
        <v>728</v>
      </c>
      <c r="K68" s="195">
        <v>4145</v>
      </c>
      <c r="L68" s="195">
        <v>142</v>
      </c>
      <c r="M68" s="195">
        <v>143</v>
      </c>
      <c r="N68" s="195">
        <v>0</v>
      </c>
      <c r="O68" s="195">
        <v>0</v>
      </c>
      <c r="P68" s="195">
        <v>0</v>
      </c>
      <c r="Q68">
        <v>0</v>
      </c>
      <c r="R68">
        <v>21</v>
      </c>
      <c r="S68">
        <v>0</v>
      </c>
      <c r="T68">
        <v>1448</v>
      </c>
      <c r="U68">
        <v>1518</v>
      </c>
      <c r="V68">
        <v>227</v>
      </c>
      <c r="W68">
        <v>621</v>
      </c>
      <c r="X68">
        <v>457</v>
      </c>
      <c r="Y68">
        <v>8</v>
      </c>
      <c r="Z68" s="195">
        <v>54838000</v>
      </c>
      <c r="AA68" s="195">
        <v>56367000</v>
      </c>
      <c r="AD68" s="139" t="s">
        <v>219</v>
      </c>
    </row>
    <row r="69" spans="1:30" x14ac:dyDescent="0.2">
      <c r="A69" t="s">
        <v>693</v>
      </c>
      <c r="B69" s="194"/>
      <c r="C69" s="139" t="s">
        <v>199</v>
      </c>
      <c r="D69" s="194">
        <v>15623491.878439054</v>
      </c>
      <c r="E69" s="194">
        <v>1706794</v>
      </c>
      <c r="F69" s="195">
        <v>12736012</v>
      </c>
      <c r="G69" s="195">
        <v>410057.54</v>
      </c>
      <c r="H69" s="195">
        <v>6969595</v>
      </c>
      <c r="I69" s="195">
        <v>5177079.5224210387</v>
      </c>
      <c r="J69" s="195">
        <v>311</v>
      </c>
      <c r="K69" s="195">
        <v>2368</v>
      </c>
      <c r="L69" s="195">
        <v>0</v>
      </c>
      <c r="M69" s="195">
        <v>0</v>
      </c>
      <c r="N69" s="195">
        <v>0</v>
      </c>
      <c r="O69" s="195">
        <v>0</v>
      </c>
      <c r="P69" s="195">
        <v>0</v>
      </c>
      <c r="Q69">
        <v>0</v>
      </c>
      <c r="R69">
        <v>0</v>
      </c>
      <c r="S69">
        <v>0</v>
      </c>
      <c r="T69">
        <v>1512</v>
      </c>
      <c r="U69">
        <v>1581</v>
      </c>
      <c r="V69">
        <v>164</v>
      </c>
      <c r="W69">
        <v>219</v>
      </c>
      <c r="X69">
        <v>298</v>
      </c>
      <c r="Y69">
        <v>0</v>
      </c>
      <c r="Z69" s="195">
        <v>48076000</v>
      </c>
      <c r="AA69" s="195">
        <v>48881000</v>
      </c>
      <c r="AD69" s="139" t="s">
        <v>199</v>
      </c>
    </row>
    <row r="70" spans="1:30" x14ac:dyDescent="0.2">
      <c r="A70" t="s">
        <v>697</v>
      </c>
      <c r="B70" s="194"/>
      <c r="C70" s="139" t="s">
        <v>298</v>
      </c>
      <c r="D70" s="194">
        <v>28971877.635550849</v>
      </c>
      <c r="E70" s="194">
        <v>2881678</v>
      </c>
      <c r="F70" s="195">
        <v>12206676</v>
      </c>
      <c r="G70" s="195">
        <v>450689.64</v>
      </c>
      <c r="H70" s="195">
        <v>7600808</v>
      </c>
      <c r="I70" s="195">
        <v>1853924.5012127655</v>
      </c>
      <c r="J70" s="195">
        <v>1244</v>
      </c>
      <c r="K70" s="195">
        <v>8763</v>
      </c>
      <c r="L70" s="195">
        <v>289</v>
      </c>
      <c r="M70" s="195">
        <v>173</v>
      </c>
      <c r="N70" s="195">
        <v>0</v>
      </c>
      <c r="O70" s="195">
        <v>0</v>
      </c>
      <c r="P70" s="195">
        <v>0</v>
      </c>
      <c r="Q70">
        <v>0</v>
      </c>
      <c r="R70">
        <v>60</v>
      </c>
      <c r="S70">
        <v>0</v>
      </c>
      <c r="T70">
        <v>5594</v>
      </c>
      <c r="U70">
        <v>3937</v>
      </c>
      <c r="V70">
        <v>511</v>
      </c>
      <c r="W70">
        <v>845</v>
      </c>
      <c r="X70">
        <v>749</v>
      </c>
      <c r="Y70">
        <v>32</v>
      </c>
      <c r="Z70" s="195">
        <v>92115000</v>
      </c>
      <c r="AA70" s="195">
        <v>90529000</v>
      </c>
      <c r="AD70" s="139" t="s">
        <v>298</v>
      </c>
    </row>
    <row r="71" spans="1:30" x14ac:dyDescent="0.2">
      <c r="A71" t="s">
        <v>693</v>
      </c>
      <c r="B71" s="194"/>
      <c r="C71" s="139" t="s">
        <v>702</v>
      </c>
      <c r="D71" s="194">
        <v>43574196.947964996</v>
      </c>
      <c r="E71" s="194">
        <v>3775196</v>
      </c>
      <c r="F71" s="195">
        <v>19986968</v>
      </c>
      <c r="G71" s="195">
        <v>1090918.67</v>
      </c>
      <c r="H71" s="195">
        <v>12761768</v>
      </c>
      <c r="I71" s="195">
        <v>5003733.5050582653</v>
      </c>
      <c r="J71" s="195">
        <v>1445</v>
      </c>
      <c r="K71" s="195">
        <v>8192</v>
      </c>
      <c r="L71" s="195">
        <v>0</v>
      </c>
      <c r="M71" s="195">
        <v>706</v>
      </c>
      <c r="N71" s="195">
        <v>0</v>
      </c>
      <c r="O71" s="195">
        <v>0</v>
      </c>
      <c r="P71" s="195">
        <v>1457</v>
      </c>
      <c r="Q71">
        <v>0</v>
      </c>
      <c r="R71">
        <v>68</v>
      </c>
      <c r="S71">
        <v>0</v>
      </c>
      <c r="T71">
        <v>4557</v>
      </c>
      <c r="U71">
        <v>4862</v>
      </c>
      <c r="V71">
        <v>324</v>
      </c>
      <c r="W71">
        <v>702</v>
      </c>
      <c r="X71">
        <v>746</v>
      </c>
      <c r="Y71">
        <v>48</v>
      </c>
      <c r="Z71" s="195">
        <v>123949000</v>
      </c>
      <c r="AA71" s="195">
        <v>126232000</v>
      </c>
      <c r="AD71" s="139" t="s">
        <v>702</v>
      </c>
    </row>
    <row r="72" spans="1:30" x14ac:dyDescent="0.2">
      <c r="A72" t="s">
        <v>698</v>
      </c>
      <c r="B72" s="194"/>
      <c r="C72" s="139" t="s">
        <v>177</v>
      </c>
      <c r="D72" s="194">
        <v>10707753.857605319</v>
      </c>
      <c r="E72" s="194">
        <v>938960</v>
      </c>
      <c r="F72" s="195">
        <v>5842161</v>
      </c>
      <c r="G72" s="195">
        <v>502031.12</v>
      </c>
      <c r="H72" s="195">
        <v>3445315</v>
      </c>
      <c r="I72" s="195">
        <v>2048858.8737539148</v>
      </c>
      <c r="J72" s="195">
        <v>539</v>
      </c>
      <c r="K72" s="195">
        <v>2073</v>
      </c>
      <c r="L72" s="195">
        <v>0</v>
      </c>
      <c r="M72" s="195">
        <v>305</v>
      </c>
      <c r="N72" s="195">
        <v>0</v>
      </c>
      <c r="O72" s="195">
        <v>0</v>
      </c>
      <c r="P72" s="195">
        <v>176</v>
      </c>
      <c r="Q72">
        <v>0</v>
      </c>
      <c r="R72">
        <v>0</v>
      </c>
      <c r="S72">
        <v>0</v>
      </c>
      <c r="T72">
        <v>1852</v>
      </c>
      <c r="U72">
        <v>1209</v>
      </c>
      <c r="V72">
        <v>143</v>
      </c>
      <c r="W72">
        <v>278</v>
      </c>
      <c r="X72">
        <v>143</v>
      </c>
      <c r="Y72">
        <v>7</v>
      </c>
      <c r="Z72" s="195">
        <v>30318000</v>
      </c>
      <c r="AA72" s="195">
        <v>30309000</v>
      </c>
      <c r="AD72" s="139" t="s">
        <v>177</v>
      </c>
    </row>
    <row r="73" spans="1:30" x14ac:dyDescent="0.2">
      <c r="A73" t="s">
        <v>697</v>
      </c>
      <c r="B73" s="194"/>
      <c r="C73" s="139" t="s">
        <v>299</v>
      </c>
      <c r="D73" s="194">
        <v>29866393.193291113</v>
      </c>
      <c r="E73" s="194">
        <v>2280918</v>
      </c>
      <c r="F73" s="195">
        <v>10671421</v>
      </c>
      <c r="G73" s="195">
        <v>675569.16</v>
      </c>
      <c r="H73" s="195">
        <v>5822037</v>
      </c>
      <c r="I73" s="195">
        <v>1889129.5826109229</v>
      </c>
      <c r="J73" s="195">
        <v>806</v>
      </c>
      <c r="K73" s="195">
        <v>6661</v>
      </c>
      <c r="L73" s="195">
        <v>171</v>
      </c>
      <c r="M73" s="195">
        <v>256</v>
      </c>
      <c r="N73" s="195">
        <v>0</v>
      </c>
      <c r="O73" s="195">
        <v>0</v>
      </c>
      <c r="P73" s="195">
        <v>196</v>
      </c>
      <c r="Q73">
        <v>9</v>
      </c>
      <c r="R73">
        <v>471</v>
      </c>
      <c r="S73">
        <v>70</v>
      </c>
      <c r="T73">
        <v>4336</v>
      </c>
      <c r="U73">
        <v>3210</v>
      </c>
      <c r="V73">
        <v>309</v>
      </c>
      <c r="W73">
        <v>1504</v>
      </c>
      <c r="X73">
        <v>684</v>
      </c>
      <c r="Y73">
        <v>75</v>
      </c>
      <c r="Z73" s="195">
        <v>96569000</v>
      </c>
      <c r="AA73" s="195">
        <v>97052000</v>
      </c>
      <c r="AD73" s="139" t="s">
        <v>299</v>
      </c>
    </row>
    <row r="74" spans="1:30" x14ac:dyDescent="0.2">
      <c r="A74" t="s">
        <v>689</v>
      </c>
      <c r="B74" s="194"/>
      <c r="C74" s="139" t="s">
        <v>172</v>
      </c>
      <c r="D74" s="194">
        <v>17677600.140528008</v>
      </c>
      <c r="E74" s="194">
        <v>1825900</v>
      </c>
      <c r="F74" s="195">
        <v>8785766</v>
      </c>
      <c r="G74" s="195">
        <v>442869.14</v>
      </c>
      <c r="H74" s="195">
        <v>3066268</v>
      </c>
      <c r="I74" s="195">
        <v>2761344.6618855675</v>
      </c>
      <c r="J74" s="195">
        <v>470</v>
      </c>
      <c r="K74" s="195">
        <v>3560</v>
      </c>
      <c r="L74" s="195">
        <v>0</v>
      </c>
      <c r="M74" s="195">
        <v>316</v>
      </c>
      <c r="N74" s="195">
        <v>0</v>
      </c>
      <c r="O74" s="195">
        <v>0</v>
      </c>
      <c r="P74" s="195">
        <v>135</v>
      </c>
      <c r="Q74">
        <v>0</v>
      </c>
      <c r="R74">
        <v>0</v>
      </c>
      <c r="S74">
        <v>0</v>
      </c>
      <c r="T74">
        <v>2462</v>
      </c>
      <c r="U74">
        <v>1939</v>
      </c>
      <c r="V74">
        <v>268</v>
      </c>
      <c r="W74">
        <v>682</v>
      </c>
      <c r="X74">
        <v>383</v>
      </c>
      <c r="Y74">
        <v>0</v>
      </c>
      <c r="Z74" s="195">
        <v>48306000</v>
      </c>
      <c r="AA74" s="195">
        <v>48773000</v>
      </c>
      <c r="AD74" s="139" t="s">
        <v>172</v>
      </c>
    </row>
    <row r="75" spans="1:30" x14ac:dyDescent="0.2">
      <c r="A75" t="s">
        <v>694</v>
      </c>
      <c r="B75" s="194"/>
      <c r="C75" s="139" t="s">
        <v>373</v>
      </c>
      <c r="D75" s="194">
        <v>101687681.24840367</v>
      </c>
      <c r="E75" s="194">
        <v>6325573</v>
      </c>
      <c r="F75" s="195">
        <v>59145275</v>
      </c>
      <c r="G75" s="195">
        <v>5633192.1600000001</v>
      </c>
      <c r="H75" s="195">
        <v>45377859</v>
      </c>
      <c r="I75" s="195">
        <v>15999923.834018368</v>
      </c>
      <c r="J75" s="195">
        <v>4977</v>
      </c>
      <c r="K75" s="195">
        <v>20171</v>
      </c>
      <c r="L75" s="195">
        <v>0</v>
      </c>
      <c r="M75" s="195">
        <v>636</v>
      </c>
      <c r="N75" s="195">
        <v>210</v>
      </c>
      <c r="O75" s="195">
        <v>0</v>
      </c>
      <c r="P75" s="195">
        <v>0</v>
      </c>
      <c r="Q75">
        <v>5351</v>
      </c>
      <c r="R75">
        <v>239</v>
      </c>
      <c r="S75">
        <v>0</v>
      </c>
      <c r="T75">
        <v>10724</v>
      </c>
      <c r="U75">
        <v>12974</v>
      </c>
      <c r="V75">
        <v>858</v>
      </c>
      <c r="W75">
        <v>2299</v>
      </c>
      <c r="X75">
        <v>1677</v>
      </c>
      <c r="Y75">
        <v>247</v>
      </c>
      <c r="Z75" s="195">
        <v>334585000</v>
      </c>
      <c r="AA75" s="195">
        <v>337553000</v>
      </c>
      <c r="AD75" s="139" t="s">
        <v>373</v>
      </c>
    </row>
    <row r="76" spans="1:30" x14ac:dyDescent="0.2">
      <c r="A76" t="s">
        <v>698</v>
      </c>
      <c r="B76" s="194"/>
      <c r="C76" s="139" t="s">
        <v>178</v>
      </c>
      <c r="D76" s="194">
        <v>24434482.24386058</v>
      </c>
      <c r="E76" s="194">
        <v>2732142</v>
      </c>
      <c r="F76" s="195">
        <v>17766943</v>
      </c>
      <c r="G76" s="195">
        <v>2700276.64</v>
      </c>
      <c r="H76" s="195">
        <v>12991439</v>
      </c>
      <c r="I76" s="195">
        <v>6744703.8716695216</v>
      </c>
      <c r="J76" s="195">
        <v>2964</v>
      </c>
      <c r="K76" s="195">
        <v>6706</v>
      </c>
      <c r="L76" s="195">
        <v>160</v>
      </c>
      <c r="M76" s="195">
        <v>107</v>
      </c>
      <c r="N76" s="195">
        <v>64</v>
      </c>
      <c r="O76" s="195">
        <v>0</v>
      </c>
      <c r="P76" s="195">
        <v>0</v>
      </c>
      <c r="Q76">
        <v>0</v>
      </c>
      <c r="R76">
        <v>782</v>
      </c>
      <c r="S76">
        <v>0</v>
      </c>
      <c r="T76">
        <v>3293</v>
      </c>
      <c r="U76">
        <v>3069</v>
      </c>
      <c r="V76">
        <v>150</v>
      </c>
      <c r="W76">
        <v>252</v>
      </c>
      <c r="X76">
        <v>382</v>
      </c>
      <c r="Y76">
        <v>12</v>
      </c>
      <c r="Z76" s="195">
        <v>84981000</v>
      </c>
      <c r="AA76" s="195">
        <v>85557000</v>
      </c>
      <c r="AD76" s="139" t="s">
        <v>178</v>
      </c>
    </row>
    <row r="77" spans="1:30" x14ac:dyDescent="0.2">
      <c r="A77" t="s">
        <v>691</v>
      </c>
      <c r="B77" s="194"/>
      <c r="C77" s="139" t="s">
        <v>328</v>
      </c>
      <c r="D77" s="194">
        <v>51914476.363321558</v>
      </c>
      <c r="E77" s="194">
        <v>5206441</v>
      </c>
      <c r="F77" s="195">
        <v>43810408</v>
      </c>
      <c r="G77" s="195">
        <v>3804310.08</v>
      </c>
      <c r="H77" s="195">
        <v>23821950</v>
      </c>
      <c r="I77" s="195">
        <v>9593421.0736301988</v>
      </c>
      <c r="J77" s="195">
        <v>2796</v>
      </c>
      <c r="K77" s="195">
        <v>9418</v>
      </c>
      <c r="L77" s="195">
        <v>0</v>
      </c>
      <c r="M77" s="195">
        <v>612</v>
      </c>
      <c r="N77" s="195">
        <v>0</v>
      </c>
      <c r="O77" s="195">
        <v>0</v>
      </c>
      <c r="P77" s="195">
        <v>619</v>
      </c>
      <c r="Q77">
        <v>1036</v>
      </c>
      <c r="R77">
        <v>40</v>
      </c>
      <c r="S77">
        <v>0</v>
      </c>
      <c r="T77">
        <v>5336</v>
      </c>
      <c r="U77">
        <v>8176</v>
      </c>
      <c r="V77">
        <v>399</v>
      </c>
      <c r="W77">
        <v>923</v>
      </c>
      <c r="X77">
        <v>1076</v>
      </c>
      <c r="Y77">
        <v>0</v>
      </c>
      <c r="Z77" s="195">
        <v>179169000</v>
      </c>
      <c r="AA77" s="195">
        <v>178856000</v>
      </c>
      <c r="AD77" s="139" t="s">
        <v>328</v>
      </c>
    </row>
    <row r="78" spans="1:30" x14ac:dyDescent="0.2">
      <c r="A78" t="s">
        <v>690</v>
      </c>
      <c r="B78" s="194"/>
      <c r="C78" s="139" t="s">
        <v>449</v>
      </c>
      <c r="D78" s="194">
        <v>23823306.667083889</v>
      </c>
      <c r="E78" s="194">
        <v>2435311</v>
      </c>
      <c r="F78" s="195">
        <v>16374050</v>
      </c>
      <c r="G78" s="195">
        <v>418093.74</v>
      </c>
      <c r="H78" s="195">
        <v>5782829</v>
      </c>
      <c r="I78" s="195">
        <v>4969927.2893612878</v>
      </c>
      <c r="J78" s="195">
        <v>1161</v>
      </c>
      <c r="K78" s="195">
        <v>6709</v>
      </c>
      <c r="L78" s="195">
        <v>128</v>
      </c>
      <c r="M78" s="195">
        <v>182</v>
      </c>
      <c r="N78" s="195">
        <v>95</v>
      </c>
      <c r="O78" s="195">
        <v>0</v>
      </c>
      <c r="P78" s="195">
        <v>0</v>
      </c>
      <c r="Q78">
        <v>521</v>
      </c>
      <c r="R78">
        <v>0</v>
      </c>
      <c r="S78">
        <v>0</v>
      </c>
      <c r="T78">
        <v>3555</v>
      </c>
      <c r="U78">
        <v>2135</v>
      </c>
      <c r="V78">
        <v>92</v>
      </c>
      <c r="W78">
        <v>984</v>
      </c>
      <c r="X78">
        <v>556</v>
      </c>
      <c r="Y78">
        <v>21</v>
      </c>
      <c r="Z78" s="195">
        <v>76233000</v>
      </c>
      <c r="AA78" s="195">
        <v>76721000</v>
      </c>
      <c r="AD78" s="139" t="s">
        <v>449</v>
      </c>
    </row>
    <row r="79" spans="1:30" x14ac:dyDescent="0.2">
      <c r="A79" t="s">
        <v>695</v>
      </c>
      <c r="B79" s="194"/>
      <c r="C79" s="139" t="s">
        <v>220</v>
      </c>
      <c r="D79" s="194">
        <v>87522220.298951834</v>
      </c>
      <c r="E79" s="194">
        <v>7319871</v>
      </c>
      <c r="F79" s="195">
        <v>77512632</v>
      </c>
      <c r="G79" s="195">
        <v>6600985.04</v>
      </c>
      <c r="H79" s="195">
        <v>37988170</v>
      </c>
      <c r="I79" s="195">
        <v>21888460.588207975</v>
      </c>
      <c r="J79" s="195">
        <v>4637</v>
      </c>
      <c r="K79" s="195">
        <v>18504</v>
      </c>
      <c r="L79" s="195">
        <v>290</v>
      </c>
      <c r="M79" s="195">
        <v>110</v>
      </c>
      <c r="N79" s="195">
        <v>243</v>
      </c>
      <c r="O79" s="195">
        <v>0</v>
      </c>
      <c r="P79" s="195">
        <v>0</v>
      </c>
      <c r="Q79">
        <v>4276</v>
      </c>
      <c r="R79">
        <v>160</v>
      </c>
      <c r="S79">
        <v>5</v>
      </c>
      <c r="T79">
        <v>8121</v>
      </c>
      <c r="U79">
        <v>11442</v>
      </c>
      <c r="V79">
        <v>140</v>
      </c>
      <c r="W79">
        <v>2630</v>
      </c>
      <c r="X79">
        <v>1726</v>
      </c>
      <c r="Y79">
        <v>302</v>
      </c>
      <c r="Z79" s="195">
        <v>322466000</v>
      </c>
      <c r="AA79" s="195">
        <v>322603000</v>
      </c>
      <c r="AD79" s="139" t="s">
        <v>220</v>
      </c>
    </row>
    <row r="80" spans="1:30" x14ac:dyDescent="0.2">
      <c r="A80" t="s">
        <v>691</v>
      </c>
      <c r="B80" s="194"/>
      <c r="C80" s="139" t="s">
        <v>329</v>
      </c>
      <c r="D80" s="194">
        <v>23327394.764601208</v>
      </c>
      <c r="E80" s="194">
        <v>1477545</v>
      </c>
      <c r="F80" s="195">
        <v>9327805</v>
      </c>
      <c r="G80" s="195">
        <v>406352.38</v>
      </c>
      <c r="H80" s="195">
        <v>7028509</v>
      </c>
      <c r="I80" s="195">
        <v>2569098.2521145698</v>
      </c>
      <c r="J80" s="195">
        <v>1192</v>
      </c>
      <c r="K80" s="195">
        <v>4354</v>
      </c>
      <c r="L80" s="195">
        <v>116</v>
      </c>
      <c r="M80" s="195">
        <v>45</v>
      </c>
      <c r="N80" s="195">
        <v>148</v>
      </c>
      <c r="O80" s="195">
        <v>0</v>
      </c>
      <c r="P80" s="195">
        <v>0</v>
      </c>
      <c r="Q80">
        <v>588</v>
      </c>
      <c r="R80">
        <v>557</v>
      </c>
      <c r="S80">
        <v>0</v>
      </c>
      <c r="T80">
        <v>2814</v>
      </c>
      <c r="U80">
        <v>3736</v>
      </c>
      <c r="V80">
        <v>12</v>
      </c>
      <c r="W80">
        <v>1378</v>
      </c>
      <c r="X80">
        <v>553</v>
      </c>
      <c r="Y80">
        <v>56</v>
      </c>
      <c r="Z80" s="195">
        <v>87257000</v>
      </c>
      <c r="AA80" s="195">
        <v>87075000</v>
      </c>
      <c r="AD80" s="139" t="s">
        <v>329</v>
      </c>
    </row>
    <row r="81" spans="1:30" x14ac:dyDescent="0.2">
      <c r="A81" t="s">
        <v>695</v>
      </c>
      <c r="B81" s="194"/>
      <c r="C81" s="139" t="s">
        <v>221</v>
      </c>
      <c r="D81" s="194">
        <v>18150181.329941455</v>
      </c>
      <c r="E81" s="194">
        <v>1693054</v>
      </c>
      <c r="F81" s="195">
        <v>10099017</v>
      </c>
      <c r="G81" s="195">
        <v>376781</v>
      </c>
      <c r="H81" s="195">
        <v>2883484</v>
      </c>
      <c r="I81" s="195">
        <v>2983915.6192323496</v>
      </c>
      <c r="J81" s="195">
        <v>969</v>
      </c>
      <c r="K81" s="195">
        <v>5101</v>
      </c>
      <c r="L81" s="195">
        <v>0</v>
      </c>
      <c r="M81" s="195">
        <v>350</v>
      </c>
      <c r="N81" s="195">
        <v>0</v>
      </c>
      <c r="O81" s="195">
        <v>0</v>
      </c>
      <c r="P81" s="195">
        <v>137</v>
      </c>
      <c r="Q81">
        <v>0</v>
      </c>
      <c r="R81">
        <v>18</v>
      </c>
      <c r="S81">
        <v>0</v>
      </c>
      <c r="T81">
        <v>2922</v>
      </c>
      <c r="U81">
        <v>1893</v>
      </c>
      <c r="V81">
        <v>0</v>
      </c>
      <c r="W81">
        <v>604</v>
      </c>
      <c r="X81">
        <v>449</v>
      </c>
      <c r="Y81">
        <v>20</v>
      </c>
      <c r="Z81" s="195">
        <v>61357000</v>
      </c>
      <c r="AA81" s="195">
        <v>64798000</v>
      </c>
      <c r="AD81" s="139" t="s">
        <v>221</v>
      </c>
    </row>
    <row r="82" spans="1:30" x14ac:dyDescent="0.2">
      <c r="A82" t="s">
        <v>692</v>
      </c>
      <c r="B82" s="194"/>
      <c r="C82" s="139" t="s">
        <v>251</v>
      </c>
      <c r="D82" s="194">
        <v>9913021.1709316336</v>
      </c>
      <c r="E82" s="194">
        <v>1064773</v>
      </c>
      <c r="F82" s="195">
        <v>7537675</v>
      </c>
      <c r="G82" s="195">
        <v>192969.84</v>
      </c>
      <c r="H82" s="195">
        <v>4546981</v>
      </c>
      <c r="I82" s="195">
        <v>2685442.2751270602</v>
      </c>
      <c r="J82" s="195">
        <v>164</v>
      </c>
      <c r="K82" s="195">
        <v>1766</v>
      </c>
      <c r="L82" s="195">
        <v>48</v>
      </c>
      <c r="M82" s="195">
        <v>185</v>
      </c>
      <c r="N82" s="195">
        <v>46</v>
      </c>
      <c r="O82" s="195">
        <v>0</v>
      </c>
      <c r="P82" s="195">
        <v>0</v>
      </c>
      <c r="Q82">
        <v>379</v>
      </c>
      <c r="R82">
        <v>23</v>
      </c>
      <c r="S82">
        <v>2</v>
      </c>
      <c r="T82">
        <v>1046</v>
      </c>
      <c r="U82">
        <v>1123</v>
      </c>
      <c r="V82">
        <v>68</v>
      </c>
      <c r="W82">
        <v>165</v>
      </c>
      <c r="X82">
        <v>172</v>
      </c>
      <c r="Y82">
        <v>15</v>
      </c>
      <c r="Z82" s="195">
        <v>33009000</v>
      </c>
      <c r="AA82" s="195">
        <v>33000000</v>
      </c>
      <c r="AD82" s="139" t="s">
        <v>251</v>
      </c>
    </row>
    <row r="83" spans="1:30" x14ac:dyDescent="0.2">
      <c r="A83" t="s">
        <v>692</v>
      </c>
      <c r="B83" s="194"/>
      <c r="C83" s="139" t="s">
        <v>252</v>
      </c>
      <c r="D83" s="194">
        <v>47555452.986426115</v>
      </c>
      <c r="E83" s="194">
        <v>4859594</v>
      </c>
      <c r="F83" s="195">
        <v>61475874</v>
      </c>
      <c r="G83" s="195">
        <v>6322162.8399999999</v>
      </c>
      <c r="H83" s="195">
        <v>17501661</v>
      </c>
      <c r="I83" s="195">
        <v>10490734.984146578</v>
      </c>
      <c r="J83" s="195">
        <v>2234</v>
      </c>
      <c r="K83" s="195">
        <v>9043</v>
      </c>
      <c r="L83" s="195">
        <v>369</v>
      </c>
      <c r="M83" s="195">
        <v>0</v>
      </c>
      <c r="N83" s="195">
        <v>341</v>
      </c>
      <c r="O83" s="195">
        <v>40</v>
      </c>
      <c r="P83" s="195">
        <v>0</v>
      </c>
      <c r="Q83">
        <v>3746</v>
      </c>
      <c r="R83">
        <v>123</v>
      </c>
      <c r="S83">
        <v>0</v>
      </c>
      <c r="T83">
        <v>5320</v>
      </c>
      <c r="U83">
        <v>5900</v>
      </c>
      <c r="V83">
        <v>425</v>
      </c>
      <c r="W83">
        <v>1855</v>
      </c>
      <c r="X83">
        <v>797</v>
      </c>
      <c r="Y83">
        <v>140</v>
      </c>
      <c r="Z83" s="195">
        <v>199170000</v>
      </c>
      <c r="AA83" s="195">
        <v>198355000</v>
      </c>
      <c r="AD83" s="139" t="s">
        <v>252</v>
      </c>
    </row>
    <row r="84" spans="1:30" x14ac:dyDescent="0.2">
      <c r="A84" t="s">
        <v>690</v>
      </c>
      <c r="B84" s="194"/>
      <c r="C84" s="139" t="s">
        <v>450</v>
      </c>
      <c r="D84" s="194">
        <v>17723672.871816743</v>
      </c>
      <c r="E84" s="194">
        <v>1867438</v>
      </c>
      <c r="F84" s="195">
        <v>9246266</v>
      </c>
      <c r="G84" s="195">
        <v>300091.74</v>
      </c>
      <c r="H84" s="195">
        <v>3768781</v>
      </c>
      <c r="I84" s="195">
        <v>2077895.4310961792</v>
      </c>
      <c r="J84" s="195">
        <v>512</v>
      </c>
      <c r="K84" s="195">
        <v>3940</v>
      </c>
      <c r="L84" s="195">
        <v>181</v>
      </c>
      <c r="M84" s="195">
        <v>0</v>
      </c>
      <c r="N84" s="195">
        <v>0</v>
      </c>
      <c r="O84" s="195">
        <v>0</v>
      </c>
      <c r="P84" s="195">
        <v>0</v>
      </c>
      <c r="Q84">
        <v>0</v>
      </c>
      <c r="R84">
        <v>0</v>
      </c>
      <c r="S84">
        <v>0</v>
      </c>
      <c r="T84">
        <v>1758</v>
      </c>
      <c r="U84">
        <v>2676</v>
      </c>
      <c r="V84">
        <v>187</v>
      </c>
      <c r="W84">
        <v>490</v>
      </c>
      <c r="X84">
        <v>352</v>
      </c>
      <c r="Y84">
        <v>6</v>
      </c>
      <c r="Z84" s="195">
        <v>52291000</v>
      </c>
      <c r="AA84" s="195">
        <v>51870000</v>
      </c>
      <c r="AD84" s="139" t="s">
        <v>450</v>
      </c>
    </row>
    <row r="85" spans="1:30" x14ac:dyDescent="0.2">
      <c r="A85" t="s">
        <v>693</v>
      </c>
      <c r="B85" s="194"/>
      <c r="C85" s="139" t="s">
        <v>200</v>
      </c>
      <c r="D85" s="194">
        <v>22866740.705031797</v>
      </c>
      <c r="E85" s="194">
        <v>2172611</v>
      </c>
      <c r="F85" s="195">
        <v>17499342</v>
      </c>
      <c r="G85" s="195">
        <v>499865.77999999997</v>
      </c>
      <c r="H85" s="195">
        <v>8700669</v>
      </c>
      <c r="I85" s="195">
        <v>7778922.107691614</v>
      </c>
      <c r="J85" s="195">
        <v>697</v>
      </c>
      <c r="K85" s="195">
        <v>4529</v>
      </c>
      <c r="L85" s="195">
        <v>0</v>
      </c>
      <c r="M85" s="195">
        <v>266</v>
      </c>
      <c r="N85" s="195">
        <v>80</v>
      </c>
      <c r="O85" s="195">
        <v>27</v>
      </c>
      <c r="P85" s="195">
        <v>98</v>
      </c>
      <c r="Q85">
        <v>479</v>
      </c>
      <c r="R85">
        <v>30</v>
      </c>
      <c r="S85">
        <v>1</v>
      </c>
      <c r="T85">
        <v>2498</v>
      </c>
      <c r="U85">
        <v>2145</v>
      </c>
      <c r="V85">
        <v>236</v>
      </c>
      <c r="W85">
        <v>458</v>
      </c>
      <c r="X85">
        <v>255</v>
      </c>
      <c r="Y85">
        <v>3</v>
      </c>
      <c r="Z85" s="195">
        <v>68673000</v>
      </c>
      <c r="AA85" s="195">
        <v>70558000</v>
      </c>
      <c r="AD85" s="139" t="s">
        <v>200</v>
      </c>
    </row>
    <row r="86" spans="1:30" x14ac:dyDescent="0.2">
      <c r="A86" t="s">
        <v>694</v>
      </c>
      <c r="B86" s="194"/>
      <c r="C86" s="139" t="s">
        <v>374</v>
      </c>
      <c r="D86" s="194">
        <v>119305838.70788741</v>
      </c>
      <c r="E86" s="194">
        <v>9476455</v>
      </c>
      <c r="F86" s="195">
        <v>107720294</v>
      </c>
      <c r="G86" s="195">
        <v>12391691.92</v>
      </c>
      <c r="H86" s="195">
        <v>51650422</v>
      </c>
      <c r="I86" s="195">
        <v>25718302.991461586</v>
      </c>
      <c r="J86" s="195">
        <v>4695</v>
      </c>
      <c r="K86" s="195">
        <v>17856</v>
      </c>
      <c r="L86" s="195">
        <v>619</v>
      </c>
      <c r="M86" s="195">
        <v>0</v>
      </c>
      <c r="N86" s="195">
        <v>0</v>
      </c>
      <c r="O86" s="195">
        <v>0</v>
      </c>
      <c r="P86" s="195">
        <v>0</v>
      </c>
      <c r="Q86">
        <v>5098</v>
      </c>
      <c r="R86">
        <v>6169</v>
      </c>
      <c r="S86">
        <v>0</v>
      </c>
      <c r="T86">
        <v>11238</v>
      </c>
      <c r="U86">
        <v>14008</v>
      </c>
      <c r="V86">
        <v>2089</v>
      </c>
      <c r="W86">
        <v>2056</v>
      </c>
      <c r="X86">
        <v>2052</v>
      </c>
      <c r="Y86">
        <v>205</v>
      </c>
      <c r="Z86" s="195">
        <v>452433000</v>
      </c>
      <c r="AA86" s="195">
        <v>462714000</v>
      </c>
      <c r="AD86" s="139" t="s">
        <v>374</v>
      </c>
    </row>
    <row r="87" spans="1:30" x14ac:dyDescent="0.2">
      <c r="A87" t="s">
        <v>691</v>
      </c>
      <c r="B87" s="194"/>
      <c r="C87" s="139" t="s">
        <v>330</v>
      </c>
      <c r="D87" s="194">
        <v>13291704.579899468</v>
      </c>
      <c r="E87" s="194">
        <v>1052822</v>
      </c>
      <c r="F87" s="195">
        <v>6728156</v>
      </c>
      <c r="G87" s="195">
        <v>287047.71999999997</v>
      </c>
      <c r="H87" s="195">
        <v>1947474</v>
      </c>
      <c r="I87" s="195">
        <v>1511836.9159061345</v>
      </c>
      <c r="J87" s="195">
        <v>297</v>
      </c>
      <c r="K87" s="195">
        <v>2148</v>
      </c>
      <c r="L87" s="195">
        <v>0</v>
      </c>
      <c r="M87" s="195">
        <v>13</v>
      </c>
      <c r="N87" s="195">
        <v>0</v>
      </c>
      <c r="O87" s="195">
        <v>0</v>
      </c>
      <c r="P87" s="195">
        <v>15</v>
      </c>
      <c r="Q87">
        <v>0</v>
      </c>
      <c r="R87">
        <v>0</v>
      </c>
      <c r="S87">
        <v>0</v>
      </c>
      <c r="T87">
        <v>1239</v>
      </c>
      <c r="U87">
        <v>2684</v>
      </c>
      <c r="V87">
        <v>64</v>
      </c>
      <c r="W87">
        <v>289</v>
      </c>
      <c r="X87">
        <v>260</v>
      </c>
      <c r="Y87">
        <v>7</v>
      </c>
      <c r="Z87" s="195">
        <v>36181000</v>
      </c>
      <c r="AA87" s="195">
        <v>36174000</v>
      </c>
      <c r="AD87" s="139" t="s">
        <v>330</v>
      </c>
    </row>
    <row r="88" spans="1:30" x14ac:dyDescent="0.2">
      <c r="A88" t="s">
        <v>690</v>
      </c>
      <c r="B88" s="194"/>
      <c r="C88" s="139" t="s">
        <v>451</v>
      </c>
      <c r="D88" s="194">
        <v>17530615.6590981</v>
      </c>
      <c r="E88" s="194">
        <v>1902897</v>
      </c>
      <c r="F88" s="195">
        <v>8767152</v>
      </c>
      <c r="G88" s="195">
        <v>325232.78000000003</v>
      </c>
      <c r="H88" s="195">
        <v>2596390</v>
      </c>
      <c r="I88" s="195">
        <v>2194982.0140644829</v>
      </c>
      <c r="J88" s="195">
        <v>450</v>
      </c>
      <c r="K88" s="195">
        <v>3597</v>
      </c>
      <c r="L88" s="195">
        <v>0</v>
      </c>
      <c r="M88" s="195">
        <v>98</v>
      </c>
      <c r="N88" s="195">
        <v>0</v>
      </c>
      <c r="O88" s="195">
        <v>0</v>
      </c>
      <c r="P88" s="195">
        <v>0</v>
      </c>
      <c r="Q88">
        <v>0</v>
      </c>
      <c r="R88">
        <v>11</v>
      </c>
      <c r="S88">
        <v>0</v>
      </c>
      <c r="T88">
        <v>3427</v>
      </c>
      <c r="U88">
        <v>2758</v>
      </c>
      <c r="V88">
        <v>95</v>
      </c>
      <c r="W88">
        <v>329</v>
      </c>
      <c r="X88">
        <v>500</v>
      </c>
      <c r="Y88">
        <v>14</v>
      </c>
      <c r="Z88" s="195">
        <v>48484000</v>
      </c>
      <c r="AA88" s="195">
        <v>49481000</v>
      </c>
      <c r="AD88" s="139" t="s">
        <v>451</v>
      </c>
    </row>
    <row r="89" spans="1:30" x14ac:dyDescent="0.2">
      <c r="A89" t="s">
        <v>696</v>
      </c>
      <c r="B89" s="194"/>
      <c r="C89" s="139" t="s">
        <v>530</v>
      </c>
      <c r="D89" s="194">
        <v>33147427.798921399</v>
      </c>
      <c r="E89" s="194">
        <v>2401267</v>
      </c>
      <c r="F89" s="195">
        <v>16313849</v>
      </c>
      <c r="G89" s="195">
        <v>741734.96</v>
      </c>
      <c r="H89" s="195">
        <v>9634045</v>
      </c>
      <c r="I89" s="195">
        <v>2914613.3942351807</v>
      </c>
      <c r="J89" s="195">
        <v>1423</v>
      </c>
      <c r="K89" s="195">
        <v>7546</v>
      </c>
      <c r="L89" s="195">
        <v>285</v>
      </c>
      <c r="M89" s="195">
        <v>1037</v>
      </c>
      <c r="N89" s="195">
        <v>0</v>
      </c>
      <c r="O89" s="195">
        <v>0</v>
      </c>
      <c r="P89" s="195">
        <v>182</v>
      </c>
      <c r="Q89">
        <v>8</v>
      </c>
      <c r="R89">
        <v>915</v>
      </c>
      <c r="S89">
        <v>0</v>
      </c>
      <c r="T89">
        <v>2565</v>
      </c>
      <c r="U89">
        <v>3880</v>
      </c>
      <c r="V89">
        <v>320</v>
      </c>
      <c r="W89">
        <v>1097</v>
      </c>
      <c r="X89">
        <v>609</v>
      </c>
      <c r="Y89">
        <v>28</v>
      </c>
      <c r="Z89" s="195">
        <v>99893000</v>
      </c>
      <c r="AA89" s="195">
        <v>101059000</v>
      </c>
      <c r="AD89" s="139" t="s">
        <v>530</v>
      </c>
    </row>
    <row r="90" spans="1:30" x14ac:dyDescent="0.2">
      <c r="A90" t="s">
        <v>692</v>
      </c>
      <c r="B90" s="194"/>
      <c r="C90" s="139" t="s">
        <v>253</v>
      </c>
      <c r="D90" s="194">
        <v>14150172.771362964</v>
      </c>
      <c r="E90" s="194">
        <v>1326080</v>
      </c>
      <c r="F90" s="195">
        <v>8503160</v>
      </c>
      <c r="G90" s="195">
        <v>348851.33999999997</v>
      </c>
      <c r="H90" s="195">
        <v>3521645</v>
      </c>
      <c r="I90" s="195">
        <v>2754852.0985112968</v>
      </c>
      <c r="J90" s="195">
        <v>432</v>
      </c>
      <c r="K90" s="195">
        <v>2716</v>
      </c>
      <c r="L90" s="195">
        <v>135</v>
      </c>
      <c r="M90" s="195">
        <v>0</v>
      </c>
      <c r="N90" s="195">
        <v>0</v>
      </c>
      <c r="O90" s="195">
        <v>0</v>
      </c>
      <c r="P90" s="195">
        <v>0</v>
      </c>
      <c r="Q90">
        <v>0</v>
      </c>
      <c r="R90">
        <v>0</v>
      </c>
      <c r="S90">
        <v>0</v>
      </c>
      <c r="T90">
        <v>1694</v>
      </c>
      <c r="U90">
        <v>1386</v>
      </c>
      <c r="V90">
        <v>37</v>
      </c>
      <c r="W90">
        <v>254</v>
      </c>
      <c r="X90">
        <v>297</v>
      </c>
      <c r="Y90">
        <v>10</v>
      </c>
      <c r="Z90" s="195">
        <v>37227000</v>
      </c>
      <c r="AA90" s="195">
        <v>38228000</v>
      </c>
      <c r="AD90" s="139" t="s">
        <v>253</v>
      </c>
    </row>
    <row r="91" spans="1:30" x14ac:dyDescent="0.2">
      <c r="A91" t="s">
        <v>692</v>
      </c>
      <c r="B91" s="194"/>
      <c r="C91" s="139" t="s">
        <v>254</v>
      </c>
      <c r="D91" s="194">
        <v>18448093.854888204</v>
      </c>
      <c r="E91" s="194">
        <v>1627507</v>
      </c>
      <c r="F91" s="195">
        <v>10461304</v>
      </c>
      <c r="G91" s="195">
        <v>320841.28000000003</v>
      </c>
      <c r="H91" s="195">
        <v>5637156</v>
      </c>
      <c r="I91" s="195">
        <v>2494767.5975837931</v>
      </c>
      <c r="J91" s="195">
        <v>922</v>
      </c>
      <c r="K91" s="195">
        <v>4655</v>
      </c>
      <c r="L91" s="195">
        <v>161</v>
      </c>
      <c r="M91" s="195">
        <v>129</v>
      </c>
      <c r="N91" s="195">
        <v>65</v>
      </c>
      <c r="O91" s="195">
        <v>0</v>
      </c>
      <c r="P91" s="195">
        <v>0</v>
      </c>
      <c r="Q91">
        <v>0</v>
      </c>
      <c r="R91">
        <v>263</v>
      </c>
      <c r="S91">
        <v>0</v>
      </c>
      <c r="T91">
        <v>1929</v>
      </c>
      <c r="U91">
        <v>2167</v>
      </c>
      <c r="V91">
        <v>67</v>
      </c>
      <c r="W91">
        <v>638</v>
      </c>
      <c r="X91">
        <v>415</v>
      </c>
      <c r="Y91">
        <v>8</v>
      </c>
      <c r="Z91" s="195">
        <v>57936000</v>
      </c>
      <c r="AA91" s="195">
        <v>57742000</v>
      </c>
      <c r="AD91" s="139" t="s">
        <v>254</v>
      </c>
    </row>
    <row r="92" spans="1:30" x14ac:dyDescent="0.2">
      <c r="A92" t="s">
        <v>699</v>
      </c>
      <c r="B92" s="194"/>
      <c r="C92" s="139" t="s">
        <v>500</v>
      </c>
      <c r="D92" s="194">
        <v>24336646.235110842</v>
      </c>
      <c r="E92" s="194">
        <v>2921299</v>
      </c>
      <c r="F92" s="195">
        <v>16466888</v>
      </c>
      <c r="G92" s="195">
        <v>459368.48</v>
      </c>
      <c r="H92" s="195">
        <v>6460712</v>
      </c>
      <c r="I92" s="195">
        <v>5741263.5560559677</v>
      </c>
      <c r="J92" s="195">
        <v>793</v>
      </c>
      <c r="K92" s="195">
        <v>5110</v>
      </c>
      <c r="L92" s="195">
        <v>165</v>
      </c>
      <c r="M92" s="195">
        <v>270</v>
      </c>
      <c r="N92" s="195">
        <v>0</v>
      </c>
      <c r="O92" s="195">
        <v>13</v>
      </c>
      <c r="P92" s="195">
        <v>0</v>
      </c>
      <c r="Q92">
        <v>0</v>
      </c>
      <c r="R92">
        <v>4</v>
      </c>
      <c r="S92">
        <v>0</v>
      </c>
      <c r="T92">
        <v>3909</v>
      </c>
      <c r="U92">
        <v>2689</v>
      </c>
      <c r="V92">
        <v>128</v>
      </c>
      <c r="W92">
        <v>432</v>
      </c>
      <c r="X92">
        <v>821</v>
      </c>
      <c r="Y92">
        <v>20</v>
      </c>
      <c r="Z92" s="195">
        <v>78923000</v>
      </c>
      <c r="AA92" s="195">
        <v>79820000</v>
      </c>
      <c r="AD92" s="139" t="s">
        <v>500</v>
      </c>
    </row>
    <row r="93" spans="1:30" x14ac:dyDescent="0.2">
      <c r="A93" t="s">
        <v>691</v>
      </c>
      <c r="B93" s="194"/>
      <c r="C93" s="139" t="s">
        <v>331</v>
      </c>
      <c r="D93" s="194">
        <v>27012086.795016244</v>
      </c>
      <c r="E93" s="194">
        <v>1994518</v>
      </c>
      <c r="F93" s="195">
        <v>9523434</v>
      </c>
      <c r="G93" s="195">
        <v>472139.56</v>
      </c>
      <c r="H93" s="195">
        <v>3921343</v>
      </c>
      <c r="I93" s="195">
        <v>2821697.2005887143</v>
      </c>
      <c r="J93" s="195">
        <v>759</v>
      </c>
      <c r="K93" s="195">
        <v>4673</v>
      </c>
      <c r="L93" s="195">
        <v>83</v>
      </c>
      <c r="M93" s="195">
        <v>410</v>
      </c>
      <c r="N93" s="195">
        <v>0</v>
      </c>
      <c r="O93" s="195">
        <v>0</v>
      </c>
      <c r="P93" s="195">
        <v>0</v>
      </c>
      <c r="Q93">
        <v>41</v>
      </c>
      <c r="R93">
        <v>34</v>
      </c>
      <c r="S93">
        <v>0</v>
      </c>
      <c r="T93">
        <v>2890</v>
      </c>
      <c r="U93">
        <v>3632</v>
      </c>
      <c r="V93">
        <v>158</v>
      </c>
      <c r="W93">
        <v>648</v>
      </c>
      <c r="X93">
        <v>551</v>
      </c>
      <c r="Y93">
        <v>27</v>
      </c>
      <c r="AD93" s="139" t="s">
        <v>331</v>
      </c>
    </row>
    <row r="94" spans="1:30" x14ac:dyDescent="0.2">
      <c r="A94" t="s">
        <v>692</v>
      </c>
      <c r="B94" s="194"/>
      <c r="C94" s="139" t="s">
        <v>255</v>
      </c>
      <c r="D94" s="194">
        <v>87246770.217029423</v>
      </c>
      <c r="E94" s="194">
        <v>7221504</v>
      </c>
      <c r="F94" s="195">
        <v>65341319</v>
      </c>
      <c r="G94" s="195">
        <v>5379522.2799999993</v>
      </c>
      <c r="H94" s="195">
        <v>22945162</v>
      </c>
      <c r="I94" s="195">
        <v>11976644.140801281</v>
      </c>
      <c r="J94" s="195">
        <v>3844</v>
      </c>
      <c r="K94" s="195">
        <v>18189</v>
      </c>
      <c r="L94" s="195">
        <v>241</v>
      </c>
      <c r="M94" s="195">
        <v>640</v>
      </c>
      <c r="N94" s="195">
        <v>0</v>
      </c>
      <c r="O94" s="195">
        <v>0</v>
      </c>
      <c r="P94" s="195">
        <v>612</v>
      </c>
      <c r="Q94">
        <v>1299</v>
      </c>
      <c r="R94">
        <v>3611</v>
      </c>
      <c r="S94">
        <v>0</v>
      </c>
      <c r="T94">
        <v>10840</v>
      </c>
      <c r="U94">
        <v>10380</v>
      </c>
      <c r="V94">
        <v>1012</v>
      </c>
      <c r="W94">
        <v>3205</v>
      </c>
      <c r="X94">
        <v>1914</v>
      </c>
      <c r="Y94">
        <v>0</v>
      </c>
      <c r="Z94" s="195">
        <v>344439000</v>
      </c>
      <c r="AA94" s="195">
        <v>346886000</v>
      </c>
      <c r="AD94" s="139" t="s">
        <v>255</v>
      </c>
    </row>
    <row r="95" spans="1:30" x14ac:dyDescent="0.2">
      <c r="A95" t="s">
        <v>697</v>
      </c>
      <c r="B95" s="194"/>
      <c r="C95" s="139" t="s">
        <v>300</v>
      </c>
      <c r="D95" s="194">
        <v>5649058.2774683964</v>
      </c>
      <c r="E95" s="194">
        <v>468319</v>
      </c>
      <c r="F95" s="195">
        <v>2539767</v>
      </c>
      <c r="G95" s="195">
        <v>131328.91999999998</v>
      </c>
      <c r="H95" s="195">
        <v>1006467</v>
      </c>
      <c r="I95" s="195">
        <v>461009.43074689573</v>
      </c>
      <c r="J95" s="195">
        <v>157</v>
      </c>
      <c r="K95" s="195">
        <v>1555</v>
      </c>
      <c r="L95" s="195">
        <v>62</v>
      </c>
      <c r="M95" s="195">
        <v>60</v>
      </c>
      <c r="N95" s="195">
        <v>0</v>
      </c>
      <c r="O95" s="195">
        <v>0</v>
      </c>
      <c r="P95" s="195">
        <v>0</v>
      </c>
      <c r="Q95">
        <v>0</v>
      </c>
      <c r="R95">
        <v>1098</v>
      </c>
      <c r="S95">
        <v>0</v>
      </c>
      <c r="T95">
        <v>738</v>
      </c>
      <c r="U95">
        <v>634</v>
      </c>
      <c r="V95">
        <v>24</v>
      </c>
      <c r="W95">
        <v>349</v>
      </c>
      <c r="X95">
        <v>161</v>
      </c>
      <c r="Y95">
        <v>15</v>
      </c>
      <c r="Z95" s="195">
        <v>19433000</v>
      </c>
      <c r="AA95" s="195">
        <v>20858000</v>
      </c>
      <c r="AD95" s="139" t="s">
        <v>300</v>
      </c>
    </row>
    <row r="96" spans="1:30" x14ac:dyDescent="0.2">
      <c r="A96" t="s">
        <v>698</v>
      </c>
      <c r="B96" s="194"/>
      <c r="C96" s="139" t="s">
        <v>179</v>
      </c>
      <c r="D96" s="194">
        <v>14638753.049100943</v>
      </c>
      <c r="E96" s="194">
        <v>1565521</v>
      </c>
      <c r="F96" s="195">
        <v>13279999</v>
      </c>
      <c r="G96" s="195">
        <v>754730.64</v>
      </c>
      <c r="H96" s="195">
        <v>5789888</v>
      </c>
      <c r="I96" s="195">
        <v>5223925.06166365</v>
      </c>
      <c r="J96" s="195">
        <v>3349</v>
      </c>
      <c r="K96" s="195">
        <v>6929</v>
      </c>
      <c r="L96" s="195">
        <v>74</v>
      </c>
      <c r="M96" s="195">
        <v>0</v>
      </c>
      <c r="N96" s="195">
        <v>24</v>
      </c>
      <c r="O96" s="195">
        <v>0</v>
      </c>
      <c r="P96" s="195">
        <v>8</v>
      </c>
      <c r="Q96">
        <v>0</v>
      </c>
      <c r="R96">
        <v>0</v>
      </c>
      <c r="S96">
        <v>0</v>
      </c>
      <c r="T96">
        <v>1896</v>
      </c>
      <c r="U96">
        <v>627</v>
      </c>
      <c r="V96">
        <v>105</v>
      </c>
      <c r="W96">
        <v>342</v>
      </c>
      <c r="X96">
        <v>287</v>
      </c>
      <c r="Y96">
        <v>8</v>
      </c>
      <c r="Z96" s="195">
        <v>53965000</v>
      </c>
      <c r="AA96" s="195">
        <v>55590000</v>
      </c>
      <c r="AD96" s="139" t="s">
        <v>179</v>
      </c>
    </row>
    <row r="97" spans="1:30" x14ac:dyDescent="0.2">
      <c r="A97" t="s">
        <v>690</v>
      </c>
      <c r="B97" s="194"/>
      <c r="C97" s="139" t="s">
        <v>452</v>
      </c>
      <c r="D97" s="194">
        <v>12707482.927894205</v>
      </c>
      <c r="E97" s="194">
        <v>1354664</v>
      </c>
      <c r="F97" s="195">
        <v>9364756</v>
      </c>
      <c r="G97" s="195">
        <v>301050.67000000004</v>
      </c>
      <c r="H97" s="195">
        <v>1698546</v>
      </c>
      <c r="I97" s="195">
        <v>3284723.832964899</v>
      </c>
      <c r="J97" s="195">
        <v>483</v>
      </c>
      <c r="K97" s="195">
        <v>2929</v>
      </c>
      <c r="L97" s="195">
        <v>0</v>
      </c>
      <c r="M97" s="195">
        <v>300</v>
      </c>
      <c r="N97" s="195">
        <v>0</v>
      </c>
      <c r="O97" s="195">
        <v>0</v>
      </c>
      <c r="P97" s="195">
        <v>30</v>
      </c>
      <c r="Q97">
        <v>0</v>
      </c>
      <c r="R97">
        <v>33</v>
      </c>
      <c r="S97">
        <v>0</v>
      </c>
      <c r="T97">
        <v>1947</v>
      </c>
      <c r="U97">
        <v>901</v>
      </c>
      <c r="V97">
        <v>0</v>
      </c>
      <c r="W97">
        <v>600</v>
      </c>
      <c r="X97">
        <v>316</v>
      </c>
      <c r="Y97">
        <v>0</v>
      </c>
      <c r="Z97" s="195">
        <v>40092000</v>
      </c>
      <c r="AA97" s="195">
        <v>39766000</v>
      </c>
      <c r="AD97" s="139" t="s">
        <v>452</v>
      </c>
    </row>
    <row r="98" spans="1:30" x14ac:dyDescent="0.2">
      <c r="A98" t="s">
        <v>699</v>
      </c>
      <c r="B98" s="194"/>
      <c r="C98" s="139" t="s">
        <v>501</v>
      </c>
      <c r="D98" s="194">
        <v>16254364.642090864</v>
      </c>
      <c r="E98" s="194">
        <v>1721402</v>
      </c>
      <c r="F98" s="195">
        <v>9026457</v>
      </c>
      <c r="G98" s="195">
        <v>220118.41999999998</v>
      </c>
      <c r="H98" s="195">
        <v>2883443</v>
      </c>
      <c r="I98" s="195">
        <v>2446516.7219308121</v>
      </c>
      <c r="J98" s="195">
        <v>394</v>
      </c>
      <c r="K98" s="195">
        <v>4195</v>
      </c>
      <c r="L98" s="195">
        <v>127</v>
      </c>
      <c r="M98" s="195">
        <v>473</v>
      </c>
      <c r="N98" s="195">
        <v>0</v>
      </c>
      <c r="O98" s="195">
        <v>0</v>
      </c>
      <c r="P98" s="195">
        <v>17</v>
      </c>
      <c r="Q98">
        <v>0</v>
      </c>
      <c r="R98">
        <v>4</v>
      </c>
      <c r="S98">
        <v>0</v>
      </c>
      <c r="T98">
        <v>3367</v>
      </c>
      <c r="U98">
        <v>2096</v>
      </c>
      <c r="V98">
        <v>75</v>
      </c>
      <c r="W98">
        <v>742</v>
      </c>
      <c r="X98">
        <v>383</v>
      </c>
      <c r="Y98">
        <v>13</v>
      </c>
      <c r="Z98" s="195">
        <v>52079000</v>
      </c>
      <c r="AA98" s="195">
        <v>52754000</v>
      </c>
      <c r="AD98" s="139" t="s">
        <v>501</v>
      </c>
    </row>
    <row r="99" spans="1:30" x14ac:dyDescent="0.2">
      <c r="A99" t="s">
        <v>690</v>
      </c>
      <c r="B99" s="194"/>
      <c r="C99" s="139" t="s">
        <v>453</v>
      </c>
      <c r="D99" s="194">
        <v>211946696.72339088</v>
      </c>
      <c r="E99" s="194">
        <v>17285874</v>
      </c>
      <c r="F99" s="195">
        <v>156739719</v>
      </c>
      <c r="G99" s="195">
        <v>20515856.68</v>
      </c>
      <c r="H99" s="195">
        <v>106102843</v>
      </c>
      <c r="I99" s="195">
        <v>41966318.251668572</v>
      </c>
      <c r="J99" s="195">
        <v>10502</v>
      </c>
      <c r="K99" s="195">
        <v>37419</v>
      </c>
      <c r="L99" s="195">
        <v>989</v>
      </c>
      <c r="M99" s="195">
        <v>1857</v>
      </c>
      <c r="N99" s="195">
        <v>598</v>
      </c>
      <c r="O99" s="195">
        <v>10</v>
      </c>
      <c r="P99" s="195">
        <v>0</v>
      </c>
      <c r="Q99">
        <v>9871</v>
      </c>
      <c r="R99">
        <v>859</v>
      </c>
      <c r="S99">
        <v>0</v>
      </c>
      <c r="T99">
        <v>17221</v>
      </c>
      <c r="U99">
        <v>22914</v>
      </c>
      <c r="V99">
        <v>742</v>
      </c>
      <c r="W99">
        <v>4793</v>
      </c>
      <c r="X99">
        <v>4202</v>
      </c>
      <c r="Y99">
        <v>547</v>
      </c>
      <c r="Z99" s="195">
        <v>843984000</v>
      </c>
      <c r="AA99" s="195">
        <v>862142000</v>
      </c>
      <c r="AD99" s="139" t="s">
        <v>453</v>
      </c>
    </row>
    <row r="100" spans="1:30" x14ac:dyDescent="0.2">
      <c r="A100" t="s">
        <v>692</v>
      </c>
      <c r="B100" s="194"/>
      <c r="C100" s="139" t="s">
        <v>256</v>
      </c>
      <c r="D100" s="194">
        <v>16226797.191556551</v>
      </c>
      <c r="E100" s="194">
        <v>1542844</v>
      </c>
      <c r="F100" s="195">
        <v>11030870</v>
      </c>
      <c r="G100" s="195">
        <v>283167.5</v>
      </c>
      <c r="H100" s="195">
        <v>3109778</v>
      </c>
      <c r="I100" s="195">
        <v>3508269.3838387839</v>
      </c>
      <c r="J100" s="195">
        <v>547</v>
      </c>
      <c r="K100" s="195">
        <v>3008</v>
      </c>
      <c r="L100" s="195">
        <v>142</v>
      </c>
      <c r="M100" s="195">
        <v>195</v>
      </c>
      <c r="N100" s="195">
        <v>61</v>
      </c>
      <c r="O100" s="195">
        <v>0</v>
      </c>
      <c r="P100" s="195">
        <v>52</v>
      </c>
      <c r="Q100">
        <v>0</v>
      </c>
      <c r="R100">
        <v>22</v>
      </c>
      <c r="S100">
        <v>0</v>
      </c>
      <c r="T100">
        <v>2033</v>
      </c>
      <c r="U100">
        <v>1826</v>
      </c>
      <c r="V100">
        <v>433</v>
      </c>
      <c r="W100">
        <v>402</v>
      </c>
      <c r="X100">
        <v>368</v>
      </c>
      <c r="Y100">
        <v>22</v>
      </c>
      <c r="Z100" s="195">
        <v>48374000</v>
      </c>
      <c r="AA100" s="195">
        <v>48381000</v>
      </c>
      <c r="AD100" s="139" t="s">
        <v>256</v>
      </c>
    </row>
    <row r="101" spans="1:30" x14ac:dyDescent="0.2">
      <c r="A101" t="s">
        <v>689</v>
      </c>
      <c r="B101" s="194"/>
      <c r="C101" s="139" t="s">
        <v>165</v>
      </c>
      <c r="D101" s="194">
        <v>96183068.540915787</v>
      </c>
      <c r="E101" s="194">
        <v>10328481</v>
      </c>
      <c r="F101" s="195">
        <v>95819227</v>
      </c>
      <c r="G101" s="195">
        <v>10499742</v>
      </c>
      <c r="H101" s="195">
        <v>49603567</v>
      </c>
      <c r="I101" s="195">
        <v>32673006.018681698</v>
      </c>
      <c r="J101" s="195">
        <v>4045</v>
      </c>
      <c r="K101" s="195">
        <v>21461</v>
      </c>
      <c r="L101" s="195">
        <v>0</v>
      </c>
      <c r="M101" s="195">
        <v>720</v>
      </c>
      <c r="N101" s="195">
        <v>283</v>
      </c>
      <c r="O101" s="195">
        <v>0</v>
      </c>
      <c r="P101" s="195">
        <v>0</v>
      </c>
      <c r="Q101">
        <v>3170</v>
      </c>
      <c r="R101">
        <v>0</v>
      </c>
      <c r="S101">
        <v>0</v>
      </c>
      <c r="T101">
        <v>9700</v>
      </c>
      <c r="U101">
        <v>12366</v>
      </c>
      <c r="V101">
        <v>710</v>
      </c>
      <c r="W101">
        <v>1970</v>
      </c>
      <c r="X101">
        <v>1855</v>
      </c>
      <c r="Y101">
        <v>133</v>
      </c>
      <c r="Z101" s="195">
        <v>405617000</v>
      </c>
      <c r="AA101" s="195">
        <v>406846000</v>
      </c>
      <c r="AD101" s="139" t="s">
        <v>165</v>
      </c>
    </row>
    <row r="102" spans="1:30" x14ac:dyDescent="0.2">
      <c r="A102" t="s">
        <v>691</v>
      </c>
      <c r="B102" s="194"/>
      <c r="C102" s="139" t="s">
        <v>332</v>
      </c>
      <c r="D102" s="194">
        <v>16881714.186430342</v>
      </c>
      <c r="E102" s="194">
        <v>1381832</v>
      </c>
      <c r="F102" s="195">
        <v>8935571</v>
      </c>
      <c r="G102" s="195">
        <v>296692.59999999998</v>
      </c>
      <c r="H102" s="195">
        <v>4541203</v>
      </c>
      <c r="I102" s="195">
        <v>2100443.1282947762</v>
      </c>
      <c r="J102" s="195">
        <v>745</v>
      </c>
      <c r="K102" s="195">
        <v>2623</v>
      </c>
      <c r="L102" s="195">
        <v>0</v>
      </c>
      <c r="M102" s="195">
        <v>500</v>
      </c>
      <c r="N102" s="195">
        <v>0</v>
      </c>
      <c r="O102" s="195">
        <v>0</v>
      </c>
      <c r="P102" s="195">
        <v>0</v>
      </c>
      <c r="Q102">
        <v>146</v>
      </c>
      <c r="R102">
        <v>47</v>
      </c>
      <c r="S102">
        <v>2</v>
      </c>
      <c r="T102">
        <v>1365</v>
      </c>
      <c r="U102">
        <v>2894</v>
      </c>
      <c r="V102">
        <v>228</v>
      </c>
      <c r="W102">
        <v>270</v>
      </c>
      <c r="X102">
        <v>320</v>
      </c>
      <c r="Y102">
        <v>12</v>
      </c>
      <c r="Z102" s="195">
        <v>46625000</v>
      </c>
      <c r="AA102" s="195">
        <v>47385000</v>
      </c>
      <c r="AD102" s="139" t="s">
        <v>332</v>
      </c>
    </row>
    <row r="103" spans="1:30" x14ac:dyDescent="0.2">
      <c r="A103" t="s">
        <v>695</v>
      </c>
      <c r="B103" s="194"/>
      <c r="C103" s="139" t="s">
        <v>222</v>
      </c>
      <c r="D103" s="194">
        <v>156917632.73731983</v>
      </c>
      <c r="E103" s="194">
        <v>12497787</v>
      </c>
      <c r="F103" s="195">
        <v>148038364</v>
      </c>
      <c r="G103" s="195">
        <v>19290486.359999999</v>
      </c>
      <c r="H103" s="195">
        <v>92104898</v>
      </c>
      <c r="I103" s="195">
        <v>46682789.505001403</v>
      </c>
      <c r="J103" s="195">
        <v>8196</v>
      </c>
      <c r="K103" s="195">
        <v>31243</v>
      </c>
      <c r="L103" s="195">
        <v>910</v>
      </c>
      <c r="M103" s="195">
        <v>195</v>
      </c>
      <c r="N103" s="195">
        <v>152</v>
      </c>
      <c r="O103" s="195">
        <v>0</v>
      </c>
      <c r="P103" s="195">
        <v>0</v>
      </c>
      <c r="Q103">
        <v>4510</v>
      </c>
      <c r="R103">
        <v>255</v>
      </c>
      <c r="S103">
        <v>0</v>
      </c>
      <c r="T103">
        <v>14382</v>
      </c>
      <c r="U103">
        <v>19545</v>
      </c>
      <c r="V103">
        <v>468</v>
      </c>
      <c r="W103">
        <v>2688</v>
      </c>
      <c r="X103">
        <v>3598</v>
      </c>
      <c r="Y103">
        <v>326</v>
      </c>
      <c r="Z103" s="195">
        <v>632519000</v>
      </c>
      <c r="AA103" s="195">
        <v>642135000</v>
      </c>
      <c r="AD103" s="139" t="s">
        <v>222</v>
      </c>
    </row>
    <row r="104" spans="1:30" x14ac:dyDescent="0.2">
      <c r="A104" t="s">
        <v>692</v>
      </c>
      <c r="B104" s="194"/>
      <c r="C104" s="139" t="s">
        <v>257</v>
      </c>
      <c r="D104" s="194">
        <v>23190729.010368951</v>
      </c>
      <c r="E104" s="194">
        <v>2775023</v>
      </c>
      <c r="F104" s="195">
        <v>15258162</v>
      </c>
      <c r="G104" s="195">
        <v>452398.54</v>
      </c>
      <c r="H104" s="195">
        <v>6029413</v>
      </c>
      <c r="I104" s="195">
        <v>5388545.905295888</v>
      </c>
      <c r="J104" s="195">
        <v>600</v>
      </c>
      <c r="K104" s="195">
        <v>4709</v>
      </c>
      <c r="L104" s="195">
        <v>115</v>
      </c>
      <c r="M104" s="195">
        <v>664</v>
      </c>
      <c r="N104" s="195">
        <v>0</v>
      </c>
      <c r="O104" s="195">
        <v>17</v>
      </c>
      <c r="P104" s="195">
        <v>276</v>
      </c>
      <c r="Q104">
        <v>0</v>
      </c>
      <c r="R104">
        <v>48</v>
      </c>
      <c r="S104">
        <v>0</v>
      </c>
      <c r="T104">
        <v>2383</v>
      </c>
      <c r="U104">
        <v>3366</v>
      </c>
      <c r="V104">
        <v>684</v>
      </c>
      <c r="W104">
        <v>723</v>
      </c>
      <c r="X104">
        <v>619</v>
      </c>
      <c r="Y104">
        <v>62</v>
      </c>
      <c r="Z104" s="195">
        <v>68781000</v>
      </c>
      <c r="AA104" s="195">
        <v>67859000</v>
      </c>
      <c r="AD104" s="139" t="s">
        <v>257</v>
      </c>
    </row>
    <row r="105" spans="1:30" x14ac:dyDescent="0.2">
      <c r="A105" t="s">
        <v>692</v>
      </c>
      <c r="B105" s="194"/>
      <c r="C105" s="139" t="s">
        <v>258</v>
      </c>
      <c r="D105" s="194">
        <v>20702937.871056765</v>
      </c>
      <c r="E105" s="194">
        <v>2339229</v>
      </c>
      <c r="F105" s="195">
        <v>14787763</v>
      </c>
      <c r="G105" s="195">
        <v>307818.56</v>
      </c>
      <c r="H105" s="195">
        <v>4216885</v>
      </c>
      <c r="I105" s="195">
        <v>3809991.1300146137</v>
      </c>
      <c r="J105" s="195">
        <v>1190</v>
      </c>
      <c r="K105" s="195">
        <v>4638</v>
      </c>
      <c r="L105" s="195">
        <v>161</v>
      </c>
      <c r="M105" s="195">
        <v>311</v>
      </c>
      <c r="N105" s="195">
        <v>50</v>
      </c>
      <c r="O105" s="195">
        <v>0</v>
      </c>
      <c r="P105" s="195">
        <v>718</v>
      </c>
      <c r="Q105">
        <v>0</v>
      </c>
      <c r="R105">
        <v>1238</v>
      </c>
      <c r="S105">
        <v>0</v>
      </c>
      <c r="T105">
        <v>2598</v>
      </c>
      <c r="U105">
        <v>1776</v>
      </c>
      <c r="V105">
        <v>408</v>
      </c>
      <c r="W105">
        <v>409</v>
      </c>
      <c r="X105">
        <v>426</v>
      </c>
      <c r="Y105">
        <v>13</v>
      </c>
      <c r="Z105" s="195">
        <v>61334000</v>
      </c>
      <c r="AA105" s="195">
        <v>68176000</v>
      </c>
      <c r="AD105" s="139" t="s">
        <v>258</v>
      </c>
    </row>
    <row r="106" spans="1:30" x14ac:dyDescent="0.2">
      <c r="A106" t="s">
        <v>690</v>
      </c>
      <c r="B106" s="194"/>
      <c r="C106" s="139" t="s">
        <v>454</v>
      </c>
      <c r="D106" s="194">
        <v>32426038.00475996</v>
      </c>
      <c r="E106" s="194">
        <v>3020083</v>
      </c>
      <c r="F106" s="195">
        <v>20329344</v>
      </c>
      <c r="G106" s="195">
        <v>515366.88</v>
      </c>
      <c r="H106" s="195">
        <v>9817940</v>
      </c>
      <c r="I106" s="195">
        <v>6970596.9333112054</v>
      </c>
      <c r="J106" s="195">
        <v>1393</v>
      </c>
      <c r="K106" s="195">
        <v>6517</v>
      </c>
      <c r="L106" s="195">
        <v>213</v>
      </c>
      <c r="M106" s="195">
        <v>0</v>
      </c>
      <c r="N106" s="195">
        <v>0</v>
      </c>
      <c r="O106" s="195">
        <v>11</v>
      </c>
      <c r="P106" s="195">
        <v>0</v>
      </c>
      <c r="Q106">
        <v>707</v>
      </c>
      <c r="R106">
        <v>27</v>
      </c>
      <c r="S106">
        <v>0</v>
      </c>
      <c r="T106">
        <v>4177</v>
      </c>
      <c r="U106">
        <v>3923</v>
      </c>
      <c r="V106">
        <v>91</v>
      </c>
      <c r="W106">
        <v>864</v>
      </c>
      <c r="X106">
        <v>898</v>
      </c>
      <c r="Y106">
        <v>42</v>
      </c>
      <c r="Z106" s="195">
        <v>109679000</v>
      </c>
      <c r="AA106" s="195">
        <v>113395000</v>
      </c>
      <c r="AD106" s="139" t="s">
        <v>454</v>
      </c>
    </row>
    <row r="107" spans="1:30" x14ac:dyDescent="0.2">
      <c r="A107" t="s">
        <v>693</v>
      </c>
      <c r="B107" s="194"/>
      <c r="C107" s="139" t="s">
        <v>201</v>
      </c>
      <c r="D107" s="194">
        <v>8032972.602548141</v>
      </c>
      <c r="E107" s="194">
        <v>626022</v>
      </c>
      <c r="F107" s="195">
        <v>4681516</v>
      </c>
      <c r="G107" s="195">
        <v>136311.88</v>
      </c>
      <c r="H107" s="195">
        <v>2628827</v>
      </c>
      <c r="I107" s="195">
        <v>1442545.7546869083</v>
      </c>
      <c r="J107" s="195">
        <v>202</v>
      </c>
      <c r="K107" s="195">
        <v>1381</v>
      </c>
      <c r="L107" s="195">
        <v>0</v>
      </c>
      <c r="M107" s="195">
        <v>12</v>
      </c>
      <c r="N107" s="195">
        <v>0</v>
      </c>
      <c r="O107" s="195">
        <v>0</v>
      </c>
      <c r="P107" s="195">
        <v>10</v>
      </c>
      <c r="Q107">
        <v>0</v>
      </c>
      <c r="R107">
        <v>0</v>
      </c>
      <c r="S107">
        <v>0</v>
      </c>
      <c r="T107">
        <v>783</v>
      </c>
      <c r="U107">
        <v>1051</v>
      </c>
      <c r="V107">
        <v>27</v>
      </c>
      <c r="W107">
        <v>157</v>
      </c>
      <c r="X107">
        <v>122</v>
      </c>
      <c r="Y107">
        <v>0</v>
      </c>
      <c r="Z107" s="195">
        <v>20294000</v>
      </c>
      <c r="AA107" s="195">
        <v>20149000</v>
      </c>
      <c r="AD107" s="139" t="s">
        <v>201</v>
      </c>
    </row>
    <row r="108" spans="1:30" x14ac:dyDescent="0.2">
      <c r="A108" t="s">
        <v>693</v>
      </c>
      <c r="B108" s="194"/>
      <c r="C108" s="139" t="s">
        <v>202</v>
      </c>
      <c r="D108" s="194">
        <v>19536147.983507149</v>
      </c>
      <c r="E108" s="194">
        <v>1773166</v>
      </c>
      <c r="F108" s="195">
        <v>12895321</v>
      </c>
      <c r="G108" s="195">
        <v>563288.99</v>
      </c>
      <c r="H108" s="195">
        <v>7127014</v>
      </c>
      <c r="I108" s="195">
        <v>4314844.5975518702</v>
      </c>
      <c r="J108" s="195">
        <v>398</v>
      </c>
      <c r="K108" s="195">
        <v>2682</v>
      </c>
      <c r="L108" s="195">
        <v>0</v>
      </c>
      <c r="M108" s="195">
        <v>0</v>
      </c>
      <c r="N108" s="195">
        <v>100</v>
      </c>
      <c r="O108" s="195">
        <v>0</v>
      </c>
      <c r="P108" s="195">
        <v>0</v>
      </c>
      <c r="Q108">
        <v>573</v>
      </c>
      <c r="R108">
        <v>0</v>
      </c>
      <c r="S108">
        <v>0</v>
      </c>
      <c r="T108">
        <v>2183</v>
      </c>
      <c r="U108">
        <v>1856</v>
      </c>
      <c r="V108">
        <v>125</v>
      </c>
      <c r="W108">
        <v>363</v>
      </c>
      <c r="X108">
        <v>330</v>
      </c>
      <c r="Y108">
        <v>8</v>
      </c>
      <c r="Z108" s="195">
        <v>60704000</v>
      </c>
      <c r="AA108" s="195">
        <v>61029000</v>
      </c>
      <c r="AD108" s="139" t="s">
        <v>202</v>
      </c>
    </row>
    <row r="109" spans="1:30" x14ac:dyDescent="0.2">
      <c r="A109" t="s">
        <v>690</v>
      </c>
      <c r="B109" s="194"/>
      <c r="C109" s="139" t="s">
        <v>455</v>
      </c>
      <c r="D109" s="194">
        <v>15662752.934635352</v>
      </c>
      <c r="E109" s="194">
        <v>1585553</v>
      </c>
      <c r="F109" s="195">
        <v>8423202</v>
      </c>
      <c r="G109" s="195">
        <v>329199.38</v>
      </c>
      <c r="H109" s="195">
        <v>4024896</v>
      </c>
      <c r="I109" s="195">
        <v>2435941.8121169372</v>
      </c>
      <c r="J109" s="195">
        <v>1218</v>
      </c>
      <c r="K109" s="195">
        <v>4025</v>
      </c>
      <c r="L109" s="195">
        <v>95</v>
      </c>
      <c r="M109" s="195">
        <v>0</v>
      </c>
      <c r="N109" s="195">
        <v>0</v>
      </c>
      <c r="O109" s="195">
        <v>0</v>
      </c>
      <c r="P109" s="195">
        <v>0</v>
      </c>
      <c r="Q109">
        <v>0</v>
      </c>
      <c r="R109">
        <v>43</v>
      </c>
      <c r="S109">
        <v>0</v>
      </c>
      <c r="T109">
        <v>2972</v>
      </c>
      <c r="U109">
        <v>2340</v>
      </c>
      <c r="V109">
        <v>48</v>
      </c>
      <c r="W109">
        <v>357</v>
      </c>
      <c r="X109">
        <v>337</v>
      </c>
      <c r="Y109">
        <v>12</v>
      </c>
      <c r="Z109" s="195">
        <v>49796000</v>
      </c>
      <c r="AA109" s="195">
        <v>52052000</v>
      </c>
      <c r="AD109" s="139" t="s">
        <v>455</v>
      </c>
    </row>
    <row r="110" spans="1:30" x14ac:dyDescent="0.2">
      <c r="A110" t="s">
        <v>692</v>
      </c>
      <c r="B110" s="194"/>
      <c r="C110" s="139" t="s">
        <v>259</v>
      </c>
      <c r="D110" s="194">
        <v>18450115.878676631</v>
      </c>
      <c r="E110" s="194">
        <v>1558069</v>
      </c>
      <c r="F110" s="195">
        <v>9002505</v>
      </c>
      <c r="G110" s="195">
        <v>336511.26</v>
      </c>
      <c r="H110" s="195">
        <v>3527572</v>
      </c>
      <c r="I110" s="195">
        <v>2450455.8406270398</v>
      </c>
      <c r="J110" s="195">
        <v>1288</v>
      </c>
      <c r="K110" s="195">
        <v>5879</v>
      </c>
      <c r="L110" s="195">
        <v>149</v>
      </c>
      <c r="M110" s="195">
        <v>99</v>
      </c>
      <c r="N110" s="195">
        <v>14</v>
      </c>
      <c r="O110" s="195">
        <v>0</v>
      </c>
      <c r="P110" s="195">
        <v>0</v>
      </c>
      <c r="Q110">
        <v>423</v>
      </c>
      <c r="R110">
        <v>3067</v>
      </c>
      <c r="S110">
        <v>0</v>
      </c>
      <c r="T110">
        <v>3425</v>
      </c>
      <c r="U110">
        <v>0</v>
      </c>
      <c r="V110">
        <v>507</v>
      </c>
      <c r="W110">
        <v>623</v>
      </c>
      <c r="X110">
        <v>481</v>
      </c>
      <c r="Y110">
        <v>42</v>
      </c>
      <c r="Z110" s="195">
        <v>65909000</v>
      </c>
      <c r="AA110" s="195">
        <v>67285000</v>
      </c>
      <c r="AD110" s="139" t="s">
        <v>259</v>
      </c>
    </row>
    <row r="111" spans="1:30" x14ac:dyDescent="0.2">
      <c r="A111" t="s">
        <v>690</v>
      </c>
      <c r="B111" s="194"/>
      <c r="C111" s="139" t="s">
        <v>456</v>
      </c>
      <c r="D111" s="194">
        <v>27900422.95771271</v>
      </c>
      <c r="E111" s="194">
        <v>3003959</v>
      </c>
      <c r="F111" s="195">
        <v>17793840</v>
      </c>
      <c r="G111" s="195">
        <v>484295.36</v>
      </c>
      <c r="H111" s="195">
        <v>9806068</v>
      </c>
      <c r="I111" s="195">
        <v>5529566.6327818232</v>
      </c>
      <c r="J111" s="195">
        <v>659</v>
      </c>
      <c r="K111" s="195">
        <v>4105</v>
      </c>
      <c r="L111" s="195">
        <v>232</v>
      </c>
      <c r="M111" s="195">
        <v>405</v>
      </c>
      <c r="N111" s="195">
        <v>96</v>
      </c>
      <c r="O111" s="195">
        <v>0</v>
      </c>
      <c r="P111" s="195">
        <v>0</v>
      </c>
      <c r="Q111">
        <v>408</v>
      </c>
      <c r="R111">
        <v>0</v>
      </c>
      <c r="S111">
        <v>0</v>
      </c>
      <c r="T111">
        <v>3176</v>
      </c>
      <c r="U111">
        <v>3019</v>
      </c>
      <c r="V111">
        <v>1</v>
      </c>
      <c r="W111">
        <v>657</v>
      </c>
      <c r="X111">
        <v>666</v>
      </c>
      <c r="Y111">
        <v>41</v>
      </c>
      <c r="Z111" s="195">
        <v>85162000</v>
      </c>
      <c r="AA111" s="195">
        <v>85800000</v>
      </c>
      <c r="AD111" s="139" t="s">
        <v>456</v>
      </c>
    </row>
    <row r="112" spans="1:30" x14ac:dyDescent="0.2">
      <c r="A112" t="s">
        <v>690</v>
      </c>
      <c r="B112" s="194"/>
      <c r="C112" s="139" t="s">
        <v>457</v>
      </c>
      <c r="D112" s="194">
        <v>21942452.873523764</v>
      </c>
      <c r="E112" s="194">
        <v>2014116</v>
      </c>
      <c r="F112" s="195">
        <v>13835233</v>
      </c>
      <c r="G112" s="195">
        <v>381766.96</v>
      </c>
      <c r="H112" s="195">
        <v>4957687</v>
      </c>
      <c r="I112" s="195">
        <v>5120082.9957774747</v>
      </c>
      <c r="J112" s="195">
        <v>918</v>
      </c>
      <c r="K112" s="195">
        <v>6436</v>
      </c>
      <c r="L112" s="195">
        <v>150</v>
      </c>
      <c r="M112" s="195">
        <v>386</v>
      </c>
      <c r="N112" s="195">
        <v>45</v>
      </c>
      <c r="O112" s="195">
        <v>1</v>
      </c>
      <c r="P112" s="195">
        <v>0</v>
      </c>
      <c r="Q112">
        <v>0</v>
      </c>
      <c r="R112">
        <v>0</v>
      </c>
      <c r="S112">
        <v>0</v>
      </c>
      <c r="T112">
        <v>2159</v>
      </c>
      <c r="U112">
        <v>2043</v>
      </c>
      <c r="V112">
        <v>45</v>
      </c>
      <c r="W112">
        <v>736</v>
      </c>
      <c r="X112">
        <v>494</v>
      </c>
      <c r="Y112">
        <v>11</v>
      </c>
      <c r="Z112" s="195">
        <v>67373000</v>
      </c>
      <c r="AA112" s="195">
        <v>68803000</v>
      </c>
      <c r="AD112" s="139" t="s">
        <v>457</v>
      </c>
    </row>
    <row r="113" spans="1:30" x14ac:dyDescent="0.2">
      <c r="A113" t="s">
        <v>699</v>
      </c>
      <c r="B113" s="194"/>
      <c r="C113" s="139" t="s">
        <v>502</v>
      </c>
      <c r="D113" s="194">
        <v>12947859.401485592</v>
      </c>
      <c r="E113" s="194">
        <v>1724125</v>
      </c>
      <c r="F113" s="195">
        <v>12049261</v>
      </c>
      <c r="G113" s="195">
        <v>256248.64</v>
      </c>
      <c r="H113" s="195">
        <v>3449284</v>
      </c>
      <c r="I113" s="195">
        <v>5320093.1904156841</v>
      </c>
      <c r="J113" s="195">
        <v>424</v>
      </c>
      <c r="K113" s="195">
        <v>2512</v>
      </c>
      <c r="L113" s="195">
        <v>83</v>
      </c>
      <c r="M113" s="195">
        <v>1298</v>
      </c>
      <c r="N113" s="195">
        <v>0</v>
      </c>
      <c r="O113" s="195">
        <v>0</v>
      </c>
      <c r="P113" s="195">
        <v>37</v>
      </c>
      <c r="Q113">
        <v>5</v>
      </c>
      <c r="R113">
        <v>0</v>
      </c>
      <c r="S113">
        <v>0</v>
      </c>
      <c r="T113">
        <v>1881</v>
      </c>
      <c r="U113">
        <v>1040</v>
      </c>
      <c r="V113">
        <v>35</v>
      </c>
      <c r="W113">
        <v>200</v>
      </c>
      <c r="X113">
        <v>315</v>
      </c>
      <c r="Y113">
        <v>9</v>
      </c>
      <c r="Z113" s="195">
        <v>41711000</v>
      </c>
      <c r="AA113" s="195">
        <v>43002000</v>
      </c>
      <c r="AD113" s="139" t="s">
        <v>502</v>
      </c>
    </row>
    <row r="114" spans="1:30" x14ac:dyDescent="0.2">
      <c r="A114" t="s">
        <v>694</v>
      </c>
      <c r="B114" s="194"/>
      <c r="C114" s="139" t="s">
        <v>375</v>
      </c>
      <c r="D114" s="194">
        <v>9856334.5601450521</v>
      </c>
      <c r="E114" s="194">
        <v>799811</v>
      </c>
      <c r="F114" s="195">
        <v>4121447</v>
      </c>
      <c r="G114" s="195">
        <v>268063.26</v>
      </c>
      <c r="H114" s="195">
        <v>1251913</v>
      </c>
      <c r="I114" s="195">
        <v>675409.64061474567</v>
      </c>
      <c r="J114" s="195">
        <v>355</v>
      </c>
      <c r="K114" s="195">
        <v>2323</v>
      </c>
      <c r="L114" s="195">
        <v>73</v>
      </c>
      <c r="M114" s="195">
        <v>0</v>
      </c>
      <c r="N114" s="195">
        <v>0</v>
      </c>
      <c r="O114" s="195">
        <v>0</v>
      </c>
      <c r="P114" s="195">
        <v>0</v>
      </c>
      <c r="Q114">
        <v>0</v>
      </c>
      <c r="R114">
        <v>7</v>
      </c>
      <c r="S114">
        <v>0</v>
      </c>
      <c r="T114">
        <v>1380</v>
      </c>
      <c r="U114">
        <v>1243</v>
      </c>
      <c r="V114">
        <v>146</v>
      </c>
      <c r="W114">
        <v>724</v>
      </c>
      <c r="X114">
        <v>211</v>
      </c>
      <c r="Y114">
        <v>0</v>
      </c>
      <c r="Z114" s="195">
        <v>27932000</v>
      </c>
      <c r="AA114" s="195">
        <v>32566000</v>
      </c>
      <c r="AD114" s="139" t="s">
        <v>375</v>
      </c>
    </row>
    <row r="115" spans="1:30" x14ac:dyDescent="0.2">
      <c r="A115" t="s">
        <v>690</v>
      </c>
      <c r="B115" s="194"/>
      <c r="C115" s="139" t="s">
        <v>458</v>
      </c>
      <c r="D115" s="194">
        <v>18094315.620766819</v>
      </c>
      <c r="E115" s="194">
        <v>1815025</v>
      </c>
      <c r="F115" s="195">
        <v>9788399</v>
      </c>
      <c r="G115" s="195">
        <v>1151678.92</v>
      </c>
      <c r="H115" s="195">
        <v>5252448</v>
      </c>
      <c r="I115" s="195">
        <v>2500819.114996531</v>
      </c>
      <c r="J115" s="195">
        <v>1220</v>
      </c>
      <c r="K115" s="195">
        <v>4202</v>
      </c>
      <c r="L115" s="195">
        <v>120</v>
      </c>
      <c r="M115" s="195">
        <v>212</v>
      </c>
      <c r="N115" s="195">
        <v>0</v>
      </c>
      <c r="O115" s="195">
        <v>0</v>
      </c>
      <c r="P115" s="195">
        <v>0</v>
      </c>
      <c r="Q115">
        <v>0</v>
      </c>
      <c r="R115">
        <v>0</v>
      </c>
      <c r="S115">
        <v>0</v>
      </c>
      <c r="T115">
        <v>1568</v>
      </c>
      <c r="U115">
        <v>1941</v>
      </c>
      <c r="V115">
        <v>0</v>
      </c>
      <c r="W115">
        <v>450</v>
      </c>
      <c r="X115">
        <v>513</v>
      </c>
      <c r="Y115">
        <v>28</v>
      </c>
      <c r="Z115" s="195">
        <v>58123000</v>
      </c>
      <c r="AA115" s="195">
        <v>60855000</v>
      </c>
      <c r="AD115" s="139" t="s">
        <v>458</v>
      </c>
    </row>
    <row r="116" spans="1:30" x14ac:dyDescent="0.2">
      <c r="A116" t="s">
        <v>694</v>
      </c>
      <c r="B116" s="194"/>
      <c r="C116" s="139" t="s">
        <v>376</v>
      </c>
      <c r="D116" s="194">
        <v>36704559.255953208</v>
      </c>
      <c r="E116" s="194">
        <v>3480156</v>
      </c>
      <c r="F116" s="195">
        <v>20099823</v>
      </c>
      <c r="G116" s="195">
        <v>913523.6</v>
      </c>
      <c r="H116" s="195">
        <v>6455461</v>
      </c>
      <c r="I116" s="195">
        <v>5692060.6554585611</v>
      </c>
      <c r="J116" s="195">
        <v>845</v>
      </c>
      <c r="K116" s="195">
        <v>6835</v>
      </c>
      <c r="L116" s="195">
        <v>278</v>
      </c>
      <c r="M116" s="195">
        <v>1578</v>
      </c>
      <c r="N116" s="195">
        <v>0</v>
      </c>
      <c r="O116" s="195">
        <v>0</v>
      </c>
      <c r="P116" s="195">
        <v>716</v>
      </c>
      <c r="Q116">
        <v>12</v>
      </c>
      <c r="R116">
        <v>0</v>
      </c>
      <c r="S116">
        <v>0</v>
      </c>
      <c r="T116">
        <v>6276</v>
      </c>
      <c r="U116">
        <v>4242</v>
      </c>
      <c r="V116">
        <v>970</v>
      </c>
      <c r="W116">
        <v>773</v>
      </c>
      <c r="X116">
        <v>987</v>
      </c>
      <c r="Y116">
        <v>49</v>
      </c>
      <c r="Z116" s="195">
        <v>125737000</v>
      </c>
      <c r="AA116" s="195">
        <v>126100000</v>
      </c>
      <c r="AD116" s="139" t="s">
        <v>376</v>
      </c>
    </row>
    <row r="117" spans="1:30" x14ac:dyDescent="0.2">
      <c r="A117" t="s">
        <v>701</v>
      </c>
      <c r="B117" s="194"/>
      <c r="C117" s="139" t="s">
        <v>422</v>
      </c>
      <c r="D117" s="194">
        <v>34222214.402764514</v>
      </c>
      <c r="E117" s="194">
        <v>3522918</v>
      </c>
      <c r="F117" s="195">
        <v>20112429</v>
      </c>
      <c r="G117" s="195">
        <v>4482955.42</v>
      </c>
      <c r="H117" s="195">
        <v>10525571</v>
      </c>
      <c r="I117" s="195">
        <v>7140490.078332562</v>
      </c>
      <c r="J117" s="195">
        <v>2047</v>
      </c>
      <c r="K117" s="195">
        <v>7584</v>
      </c>
      <c r="L117" s="195">
        <v>0</v>
      </c>
      <c r="M117" s="195">
        <v>179</v>
      </c>
      <c r="N117" s="195">
        <v>367</v>
      </c>
      <c r="O117" s="195">
        <v>0</v>
      </c>
      <c r="P117" s="195">
        <v>53</v>
      </c>
      <c r="Q117">
        <v>3690</v>
      </c>
      <c r="R117">
        <v>423</v>
      </c>
      <c r="S117">
        <v>0</v>
      </c>
      <c r="T117">
        <v>2507</v>
      </c>
      <c r="U117">
        <v>3931</v>
      </c>
      <c r="V117">
        <v>502</v>
      </c>
      <c r="W117">
        <v>860</v>
      </c>
      <c r="X117">
        <v>905</v>
      </c>
      <c r="Y117">
        <v>68</v>
      </c>
      <c r="Z117" s="195">
        <v>122753000</v>
      </c>
      <c r="AA117" s="195">
        <v>115155000</v>
      </c>
      <c r="AD117" s="139" t="s">
        <v>422</v>
      </c>
    </row>
    <row r="118" spans="1:30" x14ac:dyDescent="0.2">
      <c r="A118" t="s">
        <v>690</v>
      </c>
      <c r="B118" s="194"/>
      <c r="C118" s="139" t="s">
        <v>459</v>
      </c>
      <c r="D118" s="194">
        <v>16536164.362768129</v>
      </c>
      <c r="E118" s="194">
        <v>1742305</v>
      </c>
      <c r="F118" s="195">
        <v>10856066</v>
      </c>
      <c r="G118" s="195">
        <v>294646.02</v>
      </c>
      <c r="H118" s="195">
        <v>4029174</v>
      </c>
      <c r="I118" s="195">
        <v>3391802.2125137588</v>
      </c>
      <c r="J118" s="195">
        <v>532</v>
      </c>
      <c r="K118" s="195">
        <v>3593</v>
      </c>
      <c r="L118" s="195">
        <v>116</v>
      </c>
      <c r="M118" s="195">
        <v>0</v>
      </c>
      <c r="N118" s="195">
        <v>0</v>
      </c>
      <c r="O118" s="195">
        <v>0</v>
      </c>
      <c r="P118" s="195">
        <v>0</v>
      </c>
      <c r="Q118">
        <v>0</v>
      </c>
      <c r="R118">
        <v>14</v>
      </c>
      <c r="S118">
        <v>0</v>
      </c>
      <c r="T118">
        <v>2349</v>
      </c>
      <c r="U118">
        <v>1926</v>
      </c>
      <c r="V118">
        <v>0</v>
      </c>
      <c r="W118">
        <v>550</v>
      </c>
      <c r="X118">
        <v>359</v>
      </c>
      <c r="Y118">
        <v>9</v>
      </c>
      <c r="Z118" s="195">
        <v>65882000</v>
      </c>
      <c r="AA118" s="195">
        <v>66987000</v>
      </c>
      <c r="AD118" s="139" t="s">
        <v>459</v>
      </c>
    </row>
    <row r="119" spans="1:30" x14ac:dyDescent="0.2">
      <c r="A119" t="s">
        <v>691</v>
      </c>
      <c r="B119" s="194"/>
      <c r="C119" s="139" t="s">
        <v>637</v>
      </c>
      <c r="D119" s="194">
        <v>43127392.304634459</v>
      </c>
      <c r="E119" s="194">
        <v>3393557</v>
      </c>
      <c r="F119" s="195">
        <v>15146292</v>
      </c>
      <c r="G119" s="195">
        <v>688786.98</v>
      </c>
      <c r="H119" s="195">
        <v>10931506</v>
      </c>
      <c r="I119" s="195">
        <v>2934266.9384699957</v>
      </c>
      <c r="J119" s="195">
        <v>1093</v>
      </c>
      <c r="K119" s="195">
        <v>8422</v>
      </c>
      <c r="L119" s="195">
        <v>254</v>
      </c>
      <c r="M119" s="195">
        <v>187</v>
      </c>
      <c r="N119" s="195">
        <v>193</v>
      </c>
      <c r="O119" s="195">
        <v>0</v>
      </c>
      <c r="P119" s="195">
        <v>71</v>
      </c>
      <c r="Q119">
        <v>1881</v>
      </c>
      <c r="R119">
        <v>1780</v>
      </c>
      <c r="S119">
        <v>26</v>
      </c>
      <c r="T119">
        <v>4294</v>
      </c>
      <c r="U119">
        <v>5747</v>
      </c>
      <c r="V119">
        <v>755</v>
      </c>
      <c r="W119">
        <v>1080</v>
      </c>
      <c r="X119">
        <v>1198</v>
      </c>
      <c r="Y119">
        <v>93</v>
      </c>
      <c r="AD119" s="139" t="s">
        <v>637</v>
      </c>
    </row>
    <row r="120" spans="1:30" x14ac:dyDescent="0.2">
      <c r="A120" t="s">
        <v>694</v>
      </c>
      <c r="B120" s="194"/>
      <c r="C120" s="139" t="s">
        <v>377</v>
      </c>
      <c r="D120" s="194">
        <v>33989906.643358678</v>
      </c>
      <c r="E120" s="194">
        <v>2729555</v>
      </c>
      <c r="F120" s="195">
        <v>19855260</v>
      </c>
      <c r="G120" s="195">
        <v>545616.91999999993</v>
      </c>
      <c r="H120" s="195">
        <v>10860344</v>
      </c>
      <c r="I120" s="195">
        <v>7234363.2101953179</v>
      </c>
      <c r="J120" s="195">
        <v>1975</v>
      </c>
      <c r="K120" s="195">
        <v>6928</v>
      </c>
      <c r="L120" s="195">
        <v>257</v>
      </c>
      <c r="M120" s="195">
        <v>0</v>
      </c>
      <c r="N120" s="195">
        <v>0</v>
      </c>
      <c r="O120" s="195">
        <v>0</v>
      </c>
      <c r="P120" s="195">
        <v>0</v>
      </c>
      <c r="Q120">
        <v>2547</v>
      </c>
      <c r="R120">
        <v>136</v>
      </c>
      <c r="S120">
        <v>14</v>
      </c>
      <c r="T120">
        <v>3811</v>
      </c>
      <c r="U120">
        <v>3239</v>
      </c>
      <c r="V120">
        <v>424</v>
      </c>
      <c r="W120">
        <v>1086</v>
      </c>
      <c r="X120">
        <v>616</v>
      </c>
      <c r="Y120">
        <v>73</v>
      </c>
      <c r="Z120" s="195">
        <v>129870000</v>
      </c>
      <c r="AA120" s="195">
        <v>128812000</v>
      </c>
      <c r="AD120" s="139" t="s">
        <v>377</v>
      </c>
    </row>
    <row r="121" spans="1:30" x14ac:dyDescent="0.2">
      <c r="A121" t="s">
        <v>694</v>
      </c>
      <c r="B121" s="194"/>
      <c r="C121" s="139" t="s">
        <v>378</v>
      </c>
      <c r="D121" s="194">
        <v>74019774.092557222</v>
      </c>
      <c r="E121" s="194">
        <v>5051397</v>
      </c>
      <c r="F121" s="195">
        <v>56520081</v>
      </c>
      <c r="G121" s="195">
        <v>4768361.41</v>
      </c>
      <c r="H121" s="195">
        <v>22306365</v>
      </c>
      <c r="I121" s="195">
        <v>12816262.147968978</v>
      </c>
      <c r="J121" s="195">
        <v>2826</v>
      </c>
      <c r="K121" s="195">
        <v>12727</v>
      </c>
      <c r="L121" s="195">
        <v>231</v>
      </c>
      <c r="M121" s="195">
        <v>65</v>
      </c>
      <c r="N121" s="195">
        <v>0</v>
      </c>
      <c r="O121" s="195">
        <v>0</v>
      </c>
      <c r="P121" s="195">
        <v>0</v>
      </c>
      <c r="Q121">
        <v>3161</v>
      </c>
      <c r="R121">
        <v>2283</v>
      </c>
      <c r="S121">
        <v>0</v>
      </c>
      <c r="T121">
        <v>12180</v>
      </c>
      <c r="U121">
        <v>9726</v>
      </c>
      <c r="V121">
        <v>0</v>
      </c>
      <c r="W121">
        <v>1077</v>
      </c>
      <c r="X121">
        <v>1370</v>
      </c>
      <c r="Y121">
        <v>153</v>
      </c>
      <c r="Z121" s="195">
        <v>241065800</v>
      </c>
      <c r="AA121" s="195">
        <v>241380000</v>
      </c>
      <c r="AD121" s="139" t="s">
        <v>378</v>
      </c>
    </row>
    <row r="122" spans="1:30" x14ac:dyDescent="0.2">
      <c r="A122" t="s">
        <v>690</v>
      </c>
      <c r="B122" s="194"/>
      <c r="C122" s="139" t="s">
        <v>460</v>
      </c>
      <c r="D122" s="194">
        <v>9123512.6950406246</v>
      </c>
      <c r="E122" s="194">
        <v>1028197</v>
      </c>
      <c r="F122" s="195">
        <v>6201842</v>
      </c>
      <c r="G122" s="195">
        <v>161303.58000000002</v>
      </c>
      <c r="H122" s="195">
        <v>2023349</v>
      </c>
      <c r="I122" s="195">
        <v>2258694.0819323128</v>
      </c>
      <c r="J122" s="195">
        <v>247</v>
      </c>
      <c r="K122" s="195">
        <v>1964</v>
      </c>
      <c r="L122" s="195">
        <v>74</v>
      </c>
      <c r="M122" s="195">
        <v>0</v>
      </c>
      <c r="N122" s="195">
        <v>26</v>
      </c>
      <c r="O122" s="195">
        <v>5</v>
      </c>
      <c r="P122" s="195">
        <v>0</v>
      </c>
      <c r="Q122">
        <v>2</v>
      </c>
      <c r="R122">
        <v>0</v>
      </c>
      <c r="S122">
        <v>0</v>
      </c>
      <c r="T122">
        <v>1224</v>
      </c>
      <c r="U122">
        <v>924</v>
      </c>
      <c r="V122">
        <v>84</v>
      </c>
      <c r="W122">
        <v>287</v>
      </c>
      <c r="X122">
        <v>207</v>
      </c>
      <c r="Y122">
        <v>24</v>
      </c>
      <c r="Z122" s="195">
        <v>26502000</v>
      </c>
      <c r="AA122" s="195">
        <v>26541000</v>
      </c>
      <c r="AD122" s="139" t="s">
        <v>460</v>
      </c>
    </row>
    <row r="123" spans="1:30" x14ac:dyDescent="0.2">
      <c r="A123" t="s">
        <v>698</v>
      </c>
      <c r="B123" s="194"/>
      <c r="C123" s="139" t="s">
        <v>180</v>
      </c>
      <c r="D123" s="194">
        <v>229387660.58920383</v>
      </c>
      <c r="E123" s="194">
        <v>11737523</v>
      </c>
      <c r="F123" s="195">
        <v>169322392</v>
      </c>
      <c r="G123" s="195">
        <v>27598629.98</v>
      </c>
      <c r="H123" s="195">
        <v>146955251</v>
      </c>
      <c r="I123" s="195">
        <v>44838076.487130225</v>
      </c>
      <c r="J123" s="195">
        <v>16621</v>
      </c>
      <c r="K123" s="195">
        <v>45912</v>
      </c>
      <c r="L123" s="195">
        <v>850</v>
      </c>
      <c r="M123" s="195">
        <v>1055</v>
      </c>
      <c r="N123" s="195">
        <v>0</v>
      </c>
      <c r="O123" s="195">
        <v>0</v>
      </c>
      <c r="P123" s="195">
        <v>0</v>
      </c>
      <c r="Q123">
        <v>8157</v>
      </c>
      <c r="R123">
        <v>619</v>
      </c>
      <c r="S123">
        <v>72</v>
      </c>
      <c r="T123">
        <v>15361</v>
      </c>
      <c r="U123">
        <v>22965</v>
      </c>
      <c r="V123">
        <v>1299</v>
      </c>
      <c r="W123">
        <v>6151</v>
      </c>
      <c r="X123">
        <v>3618</v>
      </c>
      <c r="Y123">
        <v>629</v>
      </c>
      <c r="Z123" s="195">
        <v>981617000</v>
      </c>
      <c r="AA123" s="195">
        <v>962870992</v>
      </c>
      <c r="AD123" s="139" t="s">
        <v>180</v>
      </c>
    </row>
    <row r="124" spans="1:30" x14ac:dyDescent="0.2">
      <c r="A124" t="s">
        <v>698</v>
      </c>
      <c r="B124" s="194"/>
      <c r="C124" s="139" t="s">
        <v>181</v>
      </c>
      <c r="D124" s="194">
        <v>9382677.526282873</v>
      </c>
      <c r="E124" s="194">
        <v>911295</v>
      </c>
      <c r="F124" s="195">
        <v>6830461</v>
      </c>
      <c r="G124" s="195">
        <v>301327.42</v>
      </c>
      <c r="H124" s="195">
        <v>2096412</v>
      </c>
      <c r="I124" s="195">
        <v>2434995.6843156605</v>
      </c>
      <c r="J124" s="195">
        <v>250</v>
      </c>
      <c r="K124" s="195">
        <v>1664</v>
      </c>
      <c r="L124" s="195">
        <v>0</v>
      </c>
      <c r="M124" s="195">
        <v>0</v>
      </c>
      <c r="N124" s="195">
        <v>0</v>
      </c>
      <c r="O124" s="195">
        <v>0</v>
      </c>
      <c r="P124" s="195">
        <v>0</v>
      </c>
      <c r="Q124">
        <v>0</v>
      </c>
      <c r="R124">
        <v>0</v>
      </c>
      <c r="S124">
        <v>0</v>
      </c>
      <c r="T124">
        <v>1319</v>
      </c>
      <c r="U124">
        <v>1189</v>
      </c>
      <c r="V124">
        <v>100</v>
      </c>
      <c r="W124">
        <v>130</v>
      </c>
      <c r="X124">
        <v>175</v>
      </c>
      <c r="Y124">
        <v>3</v>
      </c>
      <c r="Z124" s="195">
        <v>27013000</v>
      </c>
      <c r="AA124" s="195">
        <v>28388000</v>
      </c>
      <c r="AD124" s="139" t="s">
        <v>181</v>
      </c>
    </row>
    <row r="125" spans="1:30" x14ac:dyDescent="0.2">
      <c r="A125" t="s">
        <v>699</v>
      </c>
      <c r="B125" s="194"/>
      <c r="C125" s="139" t="s">
        <v>503</v>
      </c>
      <c r="D125" s="194">
        <v>11327783.443571344</v>
      </c>
      <c r="E125" s="194">
        <v>1242300</v>
      </c>
      <c r="F125" s="195">
        <v>6455984</v>
      </c>
      <c r="G125" s="195">
        <v>169355.76</v>
      </c>
      <c r="H125" s="195">
        <v>1973112</v>
      </c>
      <c r="I125" s="195">
        <v>2695199.9998872513</v>
      </c>
      <c r="J125" s="195">
        <v>442</v>
      </c>
      <c r="K125" s="195">
        <v>2842</v>
      </c>
      <c r="L125" s="195">
        <v>71</v>
      </c>
      <c r="M125" s="195">
        <v>796</v>
      </c>
      <c r="N125" s="195">
        <v>0</v>
      </c>
      <c r="O125" s="195">
        <v>6</v>
      </c>
      <c r="P125" s="195">
        <v>21</v>
      </c>
      <c r="Q125">
        <v>287</v>
      </c>
      <c r="R125">
        <v>0</v>
      </c>
      <c r="S125">
        <v>0</v>
      </c>
      <c r="T125">
        <v>1797</v>
      </c>
      <c r="U125">
        <v>1275</v>
      </c>
      <c r="V125">
        <v>13</v>
      </c>
      <c r="W125">
        <v>193</v>
      </c>
      <c r="X125">
        <v>294</v>
      </c>
      <c r="Y125">
        <v>30</v>
      </c>
      <c r="Z125" s="195">
        <v>32304000</v>
      </c>
      <c r="AA125" s="195">
        <v>32542000</v>
      </c>
      <c r="AD125" s="139" t="s">
        <v>503</v>
      </c>
    </row>
    <row r="126" spans="1:30" x14ac:dyDescent="0.2">
      <c r="A126" t="s">
        <v>695</v>
      </c>
      <c r="B126" s="194"/>
      <c r="C126" s="139" t="s">
        <v>223</v>
      </c>
      <c r="D126" s="194">
        <v>19030700.410676368</v>
      </c>
      <c r="E126" s="194">
        <v>1816673</v>
      </c>
      <c r="F126" s="195">
        <v>10147943</v>
      </c>
      <c r="G126" s="195">
        <v>282800.58</v>
      </c>
      <c r="H126" s="195">
        <v>4884838</v>
      </c>
      <c r="I126" s="195">
        <v>3067651.4631520724</v>
      </c>
      <c r="J126" s="195">
        <v>726</v>
      </c>
      <c r="K126" s="195">
        <v>4026</v>
      </c>
      <c r="L126" s="195">
        <v>141</v>
      </c>
      <c r="M126" s="195">
        <v>190</v>
      </c>
      <c r="N126" s="195">
        <v>0</v>
      </c>
      <c r="O126" s="195">
        <v>0</v>
      </c>
      <c r="P126" s="195">
        <v>45</v>
      </c>
      <c r="Q126">
        <v>0</v>
      </c>
      <c r="R126">
        <v>0</v>
      </c>
      <c r="S126">
        <v>0</v>
      </c>
      <c r="T126">
        <v>3735</v>
      </c>
      <c r="U126">
        <v>1989</v>
      </c>
      <c r="V126">
        <v>31</v>
      </c>
      <c r="W126">
        <v>549</v>
      </c>
      <c r="X126">
        <v>406</v>
      </c>
      <c r="Y126">
        <v>12</v>
      </c>
      <c r="Z126" s="195">
        <v>50021000</v>
      </c>
      <c r="AA126" s="195">
        <v>50032000</v>
      </c>
      <c r="AD126" s="139" t="s">
        <v>223</v>
      </c>
    </row>
    <row r="127" spans="1:30" x14ac:dyDescent="0.2">
      <c r="A127" t="s">
        <v>690</v>
      </c>
      <c r="B127" s="194"/>
      <c r="C127" s="139" t="s">
        <v>461</v>
      </c>
      <c r="D127" s="194">
        <v>8359473.4139135834</v>
      </c>
      <c r="E127" s="194">
        <v>1001140</v>
      </c>
      <c r="F127" s="195">
        <v>5522772</v>
      </c>
      <c r="G127" s="195">
        <v>88066.84</v>
      </c>
      <c r="H127" s="195">
        <v>1108101</v>
      </c>
      <c r="I127" s="195">
        <v>1957632.2093620466</v>
      </c>
      <c r="J127" s="195">
        <v>330</v>
      </c>
      <c r="K127" s="195">
        <v>2801</v>
      </c>
      <c r="L127" s="195">
        <v>0</v>
      </c>
      <c r="M127" s="195">
        <v>119</v>
      </c>
      <c r="N127" s="195">
        <v>0</v>
      </c>
      <c r="O127" s="195">
        <v>0</v>
      </c>
      <c r="P127" s="195">
        <v>19</v>
      </c>
      <c r="Q127">
        <v>0</v>
      </c>
      <c r="R127">
        <v>0</v>
      </c>
      <c r="S127">
        <v>0</v>
      </c>
      <c r="T127">
        <v>1477</v>
      </c>
      <c r="U127">
        <v>739</v>
      </c>
      <c r="V127">
        <v>0</v>
      </c>
      <c r="W127">
        <v>593</v>
      </c>
      <c r="X127">
        <v>242</v>
      </c>
      <c r="Y127">
        <v>4</v>
      </c>
      <c r="Z127" s="195">
        <v>33436000</v>
      </c>
      <c r="AA127" s="195">
        <v>33584000</v>
      </c>
      <c r="AD127" s="139" t="s">
        <v>461</v>
      </c>
    </row>
    <row r="128" spans="1:30" x14ac:dyDescent="0.2">
      <c r="A128" t="s">
        <v>691</v>
      </c>
      <c r="B128" s="194"/>
      <c r="C128" s="139" t="s">
        <v>333</v>
      </c>
      <c r="D128" s="194">
        <v>150884160.69663557</v>
      </c>
      <c r="E128" s="194">
        <v>10417688</v>
      </c>
      <c r="F128" s="195">
        <v>102851078</v>
      </c>
      <c r="G128" s="195">
        <v>15148871.66</v>
      </c>
      <c r="H128" s="195">
        <v>49704077</v>
      </c>
      <c r="I128" s="195">
        <v>19984090.043461815</v>
      </c>
      <c r="J128" s="195">
        <v>7413</v>
      </c>
      <c r="K128" s="195">
        <v>30749</v>
      </c>
      <c r="L128" s="195">
        <v>535</v>
      </c>
      <c r="M128" s="195">
        <v>980</v>
      </c>
      <c r="N128" s="195">
        <v>567</v>
      </c>
      <c r="O128" s="195">
        <v>0</v>
      </c>
      <c r="P128" s="195">
        <v>0</v>
      </c>
      <c r="Q128">
        <v>18994</v>
      </c>
      <c r="R128">
        <v>5837</v>
      </c>
      <c r="S128">
        <v>57</v>
      </c>
      <c r="T128">
        <v>12726</v>
      </c>
      <c r="U128">
        <v>21170</v>
      </c>
      <c r="V128">
        <v>957</v>
      </c>
      <c r="W128">
        <v>3421</v>
      </c>
      <c r="X128">
        <v>3183</v>
      </c>
      <c r="Y128">
        <v>409</v>
      </c>
      <c r="Z128" s="195">
        <v>507974456</v>
      </c>
      <c r="AA128" s="195">
        <v>510479660</v>
      </c>
      <c r="AD128" s="139" t="s">
        <v>333</v>
      </c>
    </row>
    <row r="129" spans="1:30" x14ac:dyDescent="0.2">
      <c r="A129" t="s">
        <v>691</v>
      </c>
      <c r="B129" s="194"/>
      <c r="C129" s="139" t="s">
        <v>539</v>
      </c>
      <c r="D129" s="194">
        <v>3786687.8833506666</v>
      </c>
      <c r="E129" s="194">
        <v>315189</v>
      </c>
      <c r="F129" s="195">
        <v>1556089</v>
      </c>
      <c r="G129" s="195">
        <v>92072.02</v>
      </c>
      <c r="H129" s="195">
        <v>861802</v>
      </c>
      <c r="I129" s="195">
        <v>186085.23092239365</v>
      </c>
      <c r="J129" s="195">
        <v>171</v>
      </c>
      <c r="K129" s="195">
        <v>1120</v>
      </c>
      <c r="L129" s="195">
        <v>29</v>
      </c>
      <c r="M129" s="195">
        <v>87</v>
      </c>
      <c r="N129" s="195">
        <v>15</v>
      </c>
      <c r="O129" s="195">
        <v>0</v>
      </c>
      <c r="P129" s="195">
        <v>0</v>
      </c>
      <c r="Q129">
        <v>0</v>
      </c>
      <c r="R129">
        <v>270</v>
      </c>
      <c r="S129">
        <v>17</v>
      </c>
      <c r="T129">
        <v>750</v>
      </c>
      <c r="U129">
        <v>755</v>
      </c>
      <c r="V129">
        <v>0</v>
      </c>
      <c r="W129">
        <v>200</v>
      </c>
      <c r="X129">
        <v>128</v>
      </c>
      <c r="Y129">
        <v>0</v>
      </c>
      <c r="Z129" s="195">
        <v>11458000</v>
      </c>
      <c r="AA129" s="195">
        <v>11343000</v>
      </c>
      <c r="AD129" s="139" t="s">
        <v>539</v>
      </c>
    </row>
    <row r="130" spans="1:30" x14ac:dyDescent="0.2">
      <c r="A130" t="s">
        <v>691</v>
      </c>
      <c r="B130" s="194"/>
      <c r="C130" s="139" t="s">
        <v>334</v>
      </c>
      <c r="D130" s="194">
        <v>96636772.785850972</v>
      </c>
      <c r="E130" s="194">
        <v>7438533</v>
      </c>
      <c r="F130" s="195">
        <v>44704069</v>
      </c>
      <c r="G130" s="195">
        <v>3022192.54</v>
      </c>
      <c r="H130" s="195">
        <v>24229530</v>
      </c>
      <c r="I130" s="195">
        <v>8515890.1822915748</v>
      </c>
      <c r="J130" s="195">
        <v>18712</v>
      </c>
      <c r="K130" s="195">
        <v>41355</v>
      </c>
      <c r="L130" s="195">
        <v>621</v>
      </c>
      <c r="M130" s="195">
        <v>8140</v>
      </c>
      <c r="N130" s="195">
        <v>0</v>
      </c>
      <c r="O130" s="195">
        <v>0</v>
      </c>
      <c r="P130" s="195">
        <v>0</v>
      </c>
      <c r="Q130">
        <v>3182</v>
      </c>
      <c r="R130">
        <v>6503</v>
      </c>
      <c r="S130">
        <v>31</v>
      </c>
      <c r="T130">
        <v>8644</v>
      </c>
      <c r="U130">
        <v>16184</v>
      </c>
      <c r="V130">
        <v>828</v>
      </c>
      <c r="W130">
        <v>5008</v>
      </c>
      <c r="X130">
        <v>2651</v>
      </c>
      <c r="Y130">
        <v>40</v>
      </c>
      <c r="Z130" s="195">
        <v>375940000</v>
      </c>
      <c r="AA130" s="195">
        <v>381561000</v>
      </c>
      <c r="AD130" s="139" t="s">
        <v>334</v>
      </c>
    </row>
    <row r="131" spans="1:30" x14ac:dyDescent="0.2">
      <c r="A131" t="s">
        <v>690</v>
      </c>
      <c r="B131" s="194"/>
      <c r="C131" s="139" t="s">
        <v>462</v>
      </c>
      <c r="D131" s="194">
        <v>21140492.896156907</v>
      </c>
      <c r="E131" s="194">
        <v>2476349</v>
      </c>
      <c r="F131" s="195">
        <v>14512733</v>
      </c>
      <c r="G131" s="195">
        <v>415918.36</v>
      </c>
      <c r="H131" s="195">
        <v>6444345</v>
      </c>
      <c r="I131" s="195">
        <v>5836100.5528451726</v>
      </c>
      <c r="J131" s="195">
        <v>1085</v>
      </c>
      <c r="K131" s="195">
        <v>4825</v>
      </c>
      <c r="L131" s="195">
        <v>0</v>
      </c>
      <c r="M131" s="195">
        <v>517</v>
      </c>
      <c r="N131" s="195">
        <v>0</v>
      </c>
      <c r="O131" s="195">
        <v>0</v>
      </c>
      <c r="P131" s="195">
        <v>0</v>
      </c>
      <c r="Q131">
        <v>0</v>
      </c>
      <c r="R131">
        <v>0</v>
      </c>
      <c r="S131">
        <v>0</v>
      </c>
      <c r="T131">
        <v>2659</v>
      </c>
      <c r="U131">
        <v>3320</v>
      </c>
      <c r="V131">
        <v>71</v>
      </c>
      <c r="W131">
        <v>928</v>
      </c>
      <c r="X131">
        <v>554</v>
      </c>
      <c r="Y131">
        <v>20</v>
      </c>
      <c r="Z131" s="195">
        <v>72103000</v>
      </c>
      <c r="AA131" s="195">
        <v>73874000</v>
      </c>
      <c r="AD131" s="139" t="s">
        <v>462</v>
      </c>
    </row>
    <row r="132" spans="1:30" x14ac:dyDescent="0.2">
      <c r="A132" t="s">
        <v>695</v>
      </c>
      <c r="B132" s="194"/>
      <c r="C132" s="139" t="s">
        <v>224</v>
      </c>
      <c r="D132" s="194">
        <v>45601934.401876867</v>
      </c>
      <c r="E132" s="194">
        <v>4082671</v>
      </c>
      <c r="F132" s="195">
        <v>32138525</v>
      </c>
      <c r="G132" s="195">
        <v>983631.02</v>
      </c>
      <c r="H132" s="195">
        <v>12783042</v>
      </c>
      <c r="I132" s="195">
        <v>10634233.207586886</v>
      </c>
      <c r="J132" s="195">
        <v>2476</v>
      </c>
      <c r="K132" s="195">
        <v>8955</v>
      </c>
      <c r="L132" s="195">
        <v>359</v>
      </c>
      <c r="M132" s="195">
        <v>796</v>
      </c>
      <c r="N132" s="195">
        <v>0</v>
      </c>
      <c r="O132" s="195">
        <v>0</v>
      </c>
      <c r="P132" s="195">
        <v>414</v>
      </c>
      <c r="Q132">
        <v>1480</v>
      </c>
      <c r="R132">
        <v>1</v>
      </c>
      <c r="S132">
        <v>0</v>
      </c>
      <c r="T132">
        <v>6858</v>
      </c>
      <c r="U132">
        <v>5267</v>
      </c>
      <c r="V132">
        <v>623</v>
      </c>
      <c r="W132">
        <v>1290</v>
      </c>
      <c r="X132">
        <v>974</v>
      </c>
      <c r="Y132">
        <v>50</v>
      </c>
      <c r="Z132" s="195">
        <v>161997000</v>
      </c>
      <c r="AA132" s="195">
        <v>164036000</v>
      </c>
      <c r="AD132" s="139" t="s">
        <v>224</v>
      </c>
    </row>
    <row r="133" spans="1:30" x14ac:dyDescent="0.2">
      <c r="A133" t="s">
        <v>692</v>
      </c>
      <c r="B133" s="194"/>
      <c r="C133" s="139" t="s">
        <v>260</v>
      </c>
      <c r="D133" s="194">
        <v>36417063.060002364</v>
      </c>
      <c r="E133" s="194">
        <v>3189938</v>
      </c>
      <c r="F133" s="195">
        <v>21358215</v>
      </c>
      <c r="G133" s="195">
        <v>707685.7</v>
      </c>
      <c r="H133" s="195">
        <v>11363805</v>
      </c>
      <c r="I133" s="195">
        <v>5785165.9430029253</v>
      </c>
      <c r="J133" s="195">
        <v>1546</v>
      </c>
      <c r="K133" s="195">
        <v>7632</v>
      </c>
      <c r="L133" s="195">
        <v>164</v>
      </c>
      <c r="M133" s="195">
        <v>163</v>
      </c>
      <c r="N133" s="195">
        <v>255</v>
      </c>
      <c r="O133" s="195">
        <v>0</v>
      </c>
      <c r="P133" s="195">
        <v>145</v>
      </c>
      <c r="Q133">
        <v>3689</v>
      </c>
      <c r="R133">
        <v>160</v>
      </c>
      <c r="S133">
        <v>0</v>
      </c>
      <c r="T133">
        <v>3060</v>
      </c>
      <c r="U133">
        <v>3416</v>
      </c>
      <c r="V133">
        <v>649</v>
      </c>
      <c r="W133">
        <v>660</v>
      </c>
      <c r="X133">
        <v>742</v>
      </c>
      <c r="Y133">
        <v>34</v>
      </c>
      <c r="Z133" s="195">
        <v>116579000</v>
      </c>
      <c r="AA133" s="195">
        <v>116733000</v>
      </c>
      <c r="AD133" s="139" t="s">
        <v>260</v>
      </c>
    </row>
    <row r="134" spans="1:30" x14ac:dyDescent="0.2">
      <c r="A134" t="s">
        <v>694</v>
      </c>
      <c r="B134" s="194"/>
      <c r="C134" s="139" t="s">
        <v>379</v>
      </c>
      <c r="D134" s="194">
        <v>12258612.987767112</v>
      </c>
      <c r="E134" s="194">
        <v>1211930</v>
      </c>
      <c r="F134" s="195">
        <v>6290623</v>
      </c>
      <c r="G134" s="195">
        <v>316074.76</v>
      </c>
      <c r="H134" s="195">
        <v>1734447</v>
      </c>
      <c r="I134" s="195">
        <v>1213415.0082409556</v>
      </c>
      <c r="J134" s="195">
        <v>550</v>
      </c>
      <c r="K134" s="195">
        <v>2810</v>
      </c>
      <c r="L134" s="195">
        <v>70</v>
      </c>
      <c r="M134" s="195">
        <v>0</v>
      </c>
      <c r="N134" s="195">
        <v>0</v>
      </c>
      <c r="O134" s="195">
        <v>0</v>
      </c>
      <c r="P134" s="195">
        <v>0</v>
      </c>
      <c r="Q134">
        <v>0</v>
      </c>
      <c r="R134">
        <v>101</v>
      </c>
      <c r="S134">
        <v>0</v>
      </c>
      <c r="T134">
        <v>1819</v>
      </c>
      <c r="U134">
        <v>1635</v>
      </c>
      <c r="V134">
        <v>337</v>
      </c>
      <c r="W134">
        <v>408</v>
      </c>
      <c r="X134">
        <v>274</v>
      </c>
      <c r="Y134">
        <v>36</v>
      </c>
      <c r="Z134" s="195">
        <v>34316000</v>
      </c>
      <c r="AA134" s="195">
        <v>34811000</v>
      </c>
      <c r="AD134" s="139" t="s">
        <v>379</v>
      </c>
    </row>
    <row r="135" spans="1:30" x14ac:dyDescent="0.2">
      <c r="A135" t="s">
        <v>698</v>
      </c>
      <c r="B135" s="194"/>
      <c r="C135" s="139" t="s">
        <v>182</v>
      </c>
      <c r="D135" s="194">
        <v>15979919.183783315</v>
      </c>
      <c r="E135" s="194">
        <v>1489430</v>
      </c>
      <c r="F135" s="195">
        <v>6012234</v>
      </c>
      <c r="G135" s="195">
        <v>172380.74</v>
      </c>
      <c r="H135" s="195">
        <v>3456665</v>
      </c>
      <c r="I135" s="195">
        <v>1290281.4788722019</v>
      </c>
      <c r="J135" s="195">
        <v>446</v>
      </c>
      <c r="K135" s="195">
        <v>3949</v>
      </c>
      <c r="L135" s="195">
        <v>0</v>
      </c>
      <c r="M135" s="195">
        <v>117</v>
      </c>
      <c r="N135" s="195">
        <v>0</v>
      </c>
      <c r="O135" s="195">
        <v>0</v>
      </c>
      <c r="P135" s="195">
        <v>42</v>
      </c>
      <c r="Q135">
        <v>441</v>
      </c>
      <c r="R135">
        <v>0</v>
      </c>
      <c r="S135">
        <v>0</v>
      </c>
      <c r="T135">
        <v>2278</v>
      </c>
      <c r="U135">
        <v>1826</v>
      </c>
      <c r="V135">
        <v>251</v>
      </c>
      <c r="W135">
        <v>947</v>
      </c>
      <c r="X135">
        <v>365</v>
      </c>
      <c r="Y135">
        <v>15</v>
      </c>
      <c r="Z135" s="195">
        <v>51375000</v>
      </c>
      <c r="AA135" s="195">
        <v>49006000</v>
      </c>
      <c r="AD135" s="139" t="s">
        <v>182</v>
      </c>
    </row>
    <row r="136" spans="1:30" x14ac:dyDescent="0.2">
      <c r="A136" t="s">
        <v>693</v>
      </c>
      <c r="B136" s="194"/>
      <c r="C136" s="139" t="s">
        <v>203</v>
      </c>
      <c r="D136" s="194">
        <v>15636399.614716422</v>
      </c>
      <c r="E136" s="194">
        <v>1506483</v>
      </c>
      <c r="F136" s="195">
        <v>9570402</v>
      </c>
      <c r="G136" s="195">
        <v>531641.28</v>
      </c>
      <c r="H136" s="195">
        <v>7233821</v>
      </c>
      <c r="I136" s="195">
        <v>3077191.5741407317</v>
      </c>
      <c r="J136" s="195">
        <v>747</v>
      </c>
      <c r="K136" s="195">
        <v>2555</v>
      </c>
      <c r="L136" s="195">
        <v>94</v>
      </c>
      <c r="M136" s="195">
        <v>122</v>
      </c>
      <c r="N136" s="195">
        <v>55</v>
      </c>
      <c r="O136" s="195">
        <v>0</v>
      </c>
      <c r="P136" s="195">
        <v>0</v>
      </c>
      <c r="Q136">
        <v>820</v>
      </c>
      <c r="R136">
        <v>162</v>
      </c>
      <c r="S136">
        <v>0</v>
      </c>
      <c r="T136">
        <v>1615</v>
      </c>
      <c r="U136">
        <v>1434</v>
      </c>
      <c r="V136">
        <v>80</v>
      </c>
      <c r="W136">
        <v>152</v>
      </c>
      <c r="X136">
        <v>247</v>
      </c>
      <c r="Y136">
        <v>10</v>
      </c>
      <c r="Z136" s="195">
        <v>58100000</v>
      </c>
      <c r="AA136" s="195">
        <v>58576000</v>
      </c>
      <c r="AD136" s="139" t="s">
        <v>203</v>
      </c>
    </row>
    <row r="137" spans="1:30" x14ac:dyDescent="0.2">
      <c r="A137" t="s">
        <v>695</v>
      </c>
      <c r="B137" s="194"/>
      <c r="C137" s="139" t="s">
        <v>261</v>
      </c>
      <c r="D137" s="194">
        <v>7975884.6487110108</v>
      </c>
      <c r="E137" s="194">
        <v>832469</v>
      </c>
      <c r="F137" s="195">
        <v>4433760</v>
      </c>
      <c r="G137" s="195">
        <v>162171.14000000001</v>
      </c>
      <c r="H137" s="195">
        <v>1544757</v>
      </c>
      <c r="I137" s="195">
        <v>1180107.4371479074</v>
      </c>
      <c r="J137" s="195">
        <v>216</v>
      </c>
      <c r="K137" s="195">
        <v>2167</v>
      </c>
      <c r="L137" s="195">
        <v>0</v>
      </c>
      <c r="M137" s="195">
        <v>152</v>
      </c>
      <c r="N137" s="195">
        <v>79</v>
      </c>
      <c r="O137" s="195">
        <v>0</v>
      </c>
      <c r="P137" s="195">
        <v>2</v>
      </c>
      <c r="Q137">
        <v>0</v>
      </c>
      <c r="R137">
        <v>542</v>
      </c>
      <c r="S137">
        <v>0</v>
      </c>
      <c r="T137">
        <v>920</v>
      </c>
      <c r="U137">
        <v>941</v>
      </c>
      <c r="V137">
        <v>154</v>
      </c>
      <c r="W137">
        <v>254</v>
      </c>
      <c r="X137">
        <v>214</v>
      </c>
      <c r="Y137">
        <v>0</v>
      </c>
      <c r="Z137" s="195">
        <v>22677000</v>
      </c>
      <c r="AA137" s="195">
        <v>23112000</v>
      </c>
      <c r="AD137" s="139" t="s">
        <v>261</v>
      </c>
    </row>
    <row r="138" spans="1:30" x14ac:dyDescent="0.2">
      <c r="A138" t="s">
        <v>691</v>
      </c>
      <c r="B138" s="194"/>
      <c r="C138" s="139" t="s">
        <v>335</v>
      </c>
      <c r="D138" s="194">
        <v>31049968.091421269</v>
      </c>
      <c r="E138" s="194">
        <v>3137200</v>
      </c>
      <c r="F138" s="195">
        <v>16308176</v>
      </c>
      <c r="G138" s="195">
        <v>524398.4</v>
      </c>
      <c r="H138" s="195">
        <v>10544071</v>
      </c>
      <c r="I138" s="195">
        <v>4918463.0704819839</v>
      </c>
      <c r="J138" s="195">
        <v>527</v>
      </c>
      <c r="K138" s="195">
        <v>4978</v>
      </c>
      <c r="L138" s="195">
        <v>206</v>
      </c>
      <c r="M138" s="195">
        <v>0</v>
      </c>
      <c r="N138" s="195">
        <v>0</v>
      </c>
      <c r="O138" s="195">
        <v>0</v>
      </c>
      <c r="P138" s="195">
        <v>0</v>
      </c>
      <c r="Q138">
        <v>0</v>
      </c>
      <c r="R138">
        <v>39</v>
      </c>
      <c r="S138">
        <v>0</v>
      </c>
      <c r="T138">
        <v>3082</v>
      </c>
      <c r="U138">
        <v>4921</v>
      </c>
      <c r="V138">
        <v>212</v>
      </c>
      <c r="W138">
        <v>534</v>
      </c>
      <c r="X138">
        <v>661</v>
      </c>
      <c r="Y138">
        <v>82</v>
      </c>
      <c r="Z138" s="195">
        <v>87791000</v>
      </c>
      <c r="AA138" s="195">
        <v>89297000</v>
      </c>
      <c r="AD138" s="139" t="s">
        <v>335</v>
      </c>
    </row>
    <row r="139" spans="1:30" x14ac:dyDescent="0.2">
      <c r="A139" t="s">
        <v>691</v>
      </c>
      <c r="B139" s="194"/>
      <c r="C139" s="139" t="s">
        <v>336</v>
      </c>
      <c r="D139" s="194">
        <v>17273937.900583908</v>
      </c>
      <c r="E139" s="194">
        <v>2021991</v>
      </c>
      <c r="F139" s="195">
        <v>7684370</v>
      </c>
      <c r="G139" s="195">
        <v>204160.02</v>
      </c>
      <c r="H139" s="195">
        <v>3185494</v>
      </c>
      <c r="I139" s="195">
        <v>1893254.1990015716</v>
      </c>
      <c r="J139" s="195">
        <v>521</v>
      </c>
      <c r="K139" s="195">
        <v>5436</v>
      </c>
      <c r="L139" s="195">
        <v>122</v>
      </c>
      <c r="M139" s="195">
        <v>0</v>
      </c>
      <c r="N139" s="195">
        <v>0</v>
      </c>
      <c r="O139" s="195">
        <v>0</v>
      </c>
      <c r="P139" s="195">
        <v>0</v>
      </c>
      <c r="Q139">
        <v>725</v>
      </c>
      <c r="R139">
        <v>171</v>
      </c>
      <c r="S139">
        <v>5</v>
      </c>
      <c r="T139">
        <v>2593</v>
      </c>
      <c r="U139">
        <v>2608</v>
      </c>
      <c r="V139">
        <v>543</v>
      </c>
      <c r="W139">
        <v>430</v>
      </c>
      <c r="X139">
        <v>558</v>
      </c>
      <c r="Y139">
        <v>45</v>
      </c>
      <c r="Z139" s="195">
        <v>48699000</v>
      </c>
      <c r="AA139" s="195">
        <v>49196000</v>
      </c>
      <c r="AD139" s="139" t="s">
        <v>336</v>
      </c>
    </row>
    <row r="140" spans="1:30" x14ac:dyDescent="0.2">
      <c r="A140" t="s">
        <v>692</v>
      </c>
      <c r="B140" s="194"/>
      <c r="C140" s="139" t="s">
        <v>262</v>
      </c>
      <c r="D140" s="194">
        <v>12906297.630875546</v>
      </c>
      <c r="E140" s="194">
        <v>1451164</v>
      </c>
      <c r="F140" s="195">
        <v>8021123</v>
      </c>
      <c r="G140" s="195">
        <v>250660.34</v>
      </c>
      <c r="H140" s="195">
        <v>2160164</v>
      </c>
      <c r="I140" s="195">
        <v>2572935.714857101</v>
      </c>
      <c r="J140" s="195">
        <v>355</v>
      </c>
      <c r="K140" s="195">
        <v>3736</v>
      </c>
      <c r="L140" s="195">
        <v>0</v>
      </c>
      <c r="M140" s="195">
        <v>190</v>
      </c>
      <c r="N140" s="195">
        <v>0</v>
      </c>
      <c r="O140" s="195">
        <v>0</v>
      </c>
      <c r="P140" s="195">
        <v>6</v>
      </c>
      <c r="Q140">
        <v>0</v>
      </c>
      <c r="R140">
        <v>1073</v>
      </c>
      <c r="S140">
        <v>0</v>
      </c>
      <c r="T140">
        <v>1684</v>
      </c>
      <c r="U140">
        <v>1460</v>
      </c>
      <c r="V140">
        <v>362</v>
      </c>
      <c r="W140">
        <v>288</v>
      </c>
      <c r="X140">
        <v>309</v>
      </c>
      <c r="Y140">
        <v>15</v>
      </c>
      <c r="Z140" s="195">
        <v>37968000</v>
      </c>
      <c r="AA140" s="195">
        <v>37146000</v>
      </c>
      <c r="AD140" s="139" t="s">
        <v>262</v>
      </c>
    </row>
    <row r="141" spans="1:30" x14ac:dyDescent="0.2">
      <c r="A141" t="s">
        <v>693</v>
      </c>
      <c r="B141" s="194"/>
      <c r="C141" s="139" t="s">
        <v>204</v>
      </c>
      <c r="D141" s="194">
        <v>45218828.573376119</v>
      </c>
      <c r="E141" s="194">
        <v>4149796</v>
      </c>
      <c r="F141" s="195">
        <v>27905678</v>
      </c>
      <c r="G141" s="195">
        <v>829013.59</v>
      </c>
      <c r="H141" s="195">
        <v>18574889</v>
      </c>
      <c r="I141" s="195">
        <v>10862535.025910212</v>
      </c>
      <c r="J141" s="195">
        <v>2992</v>
      </c>
      <c r="K141" s="195">
        <v>11314</v>
      </c>
      <c r="L141" s="195">
        <v>249</v>
      </c>
      <c r="M141" s="195">
        <v>54</v>
      </c>
      <c r="N141" s="195">
        <v>110</v>
      </c>
      <c r="O141" s="195">
        <v>0</v>
      </c>
      <c r="P141" s="195">
        <v>26</v>
      </c>
      <c r="Q141">
        <v>2340</v>
      </c>
      <c r="R141">
        <v>2732</v>
      </c>
      <c r="S141">
        <v>0</v>
      </c>
      <c r="T141">
        <v>4517</v>
      </c>
      <c r="U141">
        <v>5089</v>
      </c>
      <c r="V141">
        <v>207</v>
      </c>
      <c r="W141">
        <v>874</v>
      </c>
      <c r="X141">
        <v>831</v>
      </c>
      <c r="Y141">
        <v>125</v>
      </c>
      <c r="Z141" s="195">
        <v>147730000</v>
      </c>
      <c r="AA141" s="195">
        <v>144256000</v>
      </c>
      <c r="AD141" s="139" t="s">
        <v>204</v>
      </c>
    </row>
    <row r="142" spans="1:30" x14ac:dyDescent="0.2">
      <c r="A142" t="s">
        <v>691</v>
      </c>
      <c r="B142" s="194"/>
      <c r="C142" s="139" t="s">
        <v>337</v>
      </c>
      <c r="D142" s="194">
        <v>42049057.489500165</v>
      </c>
      <c r="E142" s="194">
        <v>3283132</v>
      </c>
      <c r="F142" s="195">
        <v>25226046</v>
      </c>
      <c r="G142" s="195">
        <v>740708.62</v>
      </c>
      <c r="H142" s="195">
        <v>11584325</v>
      </c>
      <c r="I142" s="195">
        <v>4737255.2354070172</v>
      </c>
      <c r="J142" s="195">
        <v>2227</v>
      </c>
      <c r="K142" s="195">
        <v>8441</v>
      </c>
      <c r="L142" s="195">
        <v>0</v>
      </c>
      <c r="M142" s="195">
        <v>0</v>
      </c>
      <c r="N142" s="195">
        <v>0</v>
      </c>
      <c r="O142" s="195">
        <v>0</v>
      </c>
      <c r="P142" s="195">
        <v>0</v>
      </c>
      <c r="Q142">
        <v>282</v>
      </c>
      <c r="R142">
        <v>0</v>
      </c>
      <c r="S142">
        <v>0</v>
      </c>
      <c r="T142">
        <v>3953</v>
      </c>
      <c r="U142">
        <v>4932</v>
      </c>
      <c r="V142">
        <v>85</v>
      </c>
      <c r="W142">
        <v>1183</v>
      </c>
      <c r="X142">
        <v>925</v>
      </c>
      <c r="Y142">
        <v>43</v>
      </c>
      <c r="Z142" s="195">
        <v>149097000</v>
      </c>
      <c r="AA142" s="195">
        <v>150001000</v>
      </c>
      <c r="AD142" s="139" t="s">
        <v>337</v>
      </c>
    </row>
    <row r="143" spans="1:30" x14ac:dyDescent="0.2">
      <c r="A143" t="s">
        <v>699</v>
      </c>
      <c r="B143" s="194"/>
      <c r="C143" s="139" t="s">
        <v>504</v>
      </c>
      <c r="D143" s="194">
        <v>92798868.112040967</v>
      </c>
      <c r="E143" s="194">
        <v>10467671</v>
      </c>
      <c r="F143" s="195">
        <v>114701893</v>
      </c>
      <c r="G143" s="195">
        <v>14318387.9</v>
      </c>
      <c r="H143" s="195">
        <v>61856752</v>
      </c>
      <c r="I143" s="195">
        <v>38714261.840284146</v>
      </c>
      <c r="J143" s="195">
        <v>3972</v>
      </c>
      <c r="K143" s="195">
        <v>16337</v>
      </c>
      <c r="L143" s="195">
        <v>762</v>
      </c>
      <c r="M143" s="195">
        <v>187</v>
      </c>
      <c r="N143" s="195">
        <v>0</v>
      </c>
      <c r="O143" s="195">
        <v>0</v>
      </c>
      <c r="P143" s="195">
        <v>0</v>
      </c>
      <c r="Q143">
        <v>2051</v>
      </c>
      <c r="R143">
        <v>280</v>
      </c>
      <c r="S143">
        <v>0</v>
      </c>
      <c r="T143">
        <v>9531</v>
      </c>
      <c r="U143">
        <v>11110</v>
      </c>
      <c r="V143">
        <v>440</v>
      </c>
      <c r="W143">
        <v>1574</v>
      </c>
      <c r="X143">
        <v>1387</v>
      </c>
      <c r="Y143">
        <v>202</v>
      </c>
      <c r="Z143" s="195">
        <v>387746000</v>
      </c>
      <c r="AA143" s="195">
        <v>385294600</v>
      </c>
      <c r="AD143" s="139" t="s">
        <v>504</v>
      </c>
    </row>
    <row r="144" spans="1:30" x14ac:dyDescent="0.2">
      <c r="A144" t="s">
        <v>690</v>
      </c>
      <c r="B144" s="194"/>
      <c r="C144" s="139" t="s">
        <v>463</v>
      </c>
      <c r="D144" s="194">
        <v>10845413.773404222</v>
      </c>
      <c r="E144" s="194">
        <v>1246854</v>
      </c>
      <c r="F144" s="195">
        <v>5154415</v>
      </c>
      <c r="G144" s="195">
        <v>193510.3</v>
      </c>
      <c r="H144" s="195">
        <v>1556621</v>
      </c>
      <c r="I144" s="195">
        <v>1229206.8501460489</v>
      </c>
      <c r="J144" s="195">
        <v>458</v>
      </c>
      <c r="K144" s="195">
        <v>3019</v>
      </c>
      <c r="L144" s="195">
        <v>0</v>
      </c>
      <c r="M144" s="195">
        <v>180</v>
      </c>
      <c r="N144" s="195">
        <v>0</v>
      </c>
      <c r="O144" s="195">
        <v>1</v>
      </c>
      <c r="P144" s="195">
        <v>0</v>
      </c>
      <c r="Q144">
        <v>0</v>
      </c>
      <c r="R144">
        <v>0</v>
      </c>
      <c r="S144">
        <v>0</v>
      </c>
      <c r="T144">
        <v>1837</v>
      </c>
      <c r="U144">
        <v>1378</v>
      </c>
      <c r="V144">
        <v>2</v>
      </c>
      <c r="W144">
        <v>552</v>
      </c>
      <c r="X144">
        <v>289</v>
      </c>
      <c r="Y144">
        <v>2</v>
      </c>
      <c r="AD144" s="139" t="s">
        <v>463</v>
      </c>
    </row>
    <row r="145" spans="1:30" x14ac:dyDescent="0.2">
      <c r="A145" t="s">
        <v>691</v>
      </c>
      <c r="B145" s="194"/>
      <c r="C145" s="139" t="s">
        <v>338</v>
      </c>
      <c r="D145" s="194">
        <v>14431153.771561652</v>
      </c>
      <c r="E145" s="194">
        <v>1600496</v>
      </c>
      <c r="F145" s="195">
        <v>7148093</v>
      </c>
      <c r="G145" s="195">
        <v>188881.54</v>
      </c>
      <c r="H145" s="195">
        <v>3072169</v>
      </c>
      <c r="I145" s="195">
        <v>1535392.1192492179</v>
      </c>
      <c r="J145" s="195">
        <v>354</v>
      </c>
      <c r="K145" s="195">
        <v>3160</v>
      </c>
      <c r="L145" s="195">
        <v>98</v>
      </c>
      <c r="M145" s="195">
        <v>39</v>
      </c>
      <c r="N145" s="195">
        <v>0</v>
      </c>
      <c r="O145" s="195">
        <v>0</v>
      </c>
      <c r="P145" s="195">
        <v>0</v>
      </c>
      <c r="Q145">
        <v>0</v>
      </c>
      <c r="R145">
        <v>0</v>
      </c>
      <c r="S145">
        <v>0</v>
      </c>
      <c r="T145">
        <v>1668</v>
      </c>
      <c r="U145">
        <v>2177</v>
      </c>
      <c r="V145">
        <v>127</v>
      </c>
      <c r="W145">
        <v>410</v>
      </c>
      <c r="X145">
        <v>387</v>
      </c>
      <c r="Y145">
        <v>48</v>
      </c>
      <c r="Z145" s="195">
        <v>45941000</v>
      </c>
      <c r="AA145" s="195">
        <v>46012000</v>
      </c>
      <c r="AD145" s="139" t="s">
        <v>338</v>
      </c>
    </row>
    <row r="146" spans="1:30" x14ac:dyDescent="0.2">
      <c r="A146" t="s">
        <v>695</v>
      </c>
      <c r="B146" s="194"/>
      <c r="C146" s="139" t="s">
        <v>225</v>
      </c>
      <c r="D146" s="194">
        <v>26463641.803100295</v>
      </c>
      <c r="E146" s="194">
        <v>2714290</v>
      </c>
      <c r="F146" s="195">
        <v>15818313</v>
      </c>
      <c r="G146" s="195">
        <v>544622.98</v>
      </c>
      <c r="H146" s="195">
        <v>6236755</v>
      </c>
      <c r="I146" s="195">
        <v>4729618.3595349304</v>
      </c>
      <c r="J146" s="195">
        <v>1139</v>
      </c>
      <c r="K146" s="195">
        <v>6402</v>
      </c>
      <c r="L146" s="195">
        <v>176</v>
      </c>
      <c r="M146" s="195">
        <v>380</v>
      </c>
      <c r="N146" s="195">
        <v>61</v>
      </c>
      <c r="O146" s="195">
        <v>0</v>
      </c>
      <c r="P146" s="195">
        <v>0</v>
      </c>
      <c r="Q146">
        <v>429</v>
      </c>
      <c r="R146">
        <v>0</v>
      </c>
      <c r="S146">
        <v>0</v>
      </c>
      <c r="T146">
        <v>3727</v>
      </c>
      <c r="U146">
        <v>2643</v>
      </c>
      <c r="V146">
        <v>443</v>
      </c>
      <c r="W146">
        <v>550</v>
      </c>
      <c r="X146">
        <v>502</v>
      </c>
      <c r="Y146">
        <v>40</v>
      </c>
      <c r="Z146" s="195">
        <v>83727000</v>
      </c>
      <c r="AA146" s="195">
        <v>83129000</v>
      </c>
      <c r="AD146" s="139" t="s">
        <v>225</v>
      </c>
    </row>
    <row r="147" spans="1:30" x14ac:dyDescent="0.2">
      <c r="A147" t="s">
        <v>694</v>
      </c>
      <c r="B147" s="194"/>
      <c r="C147" s="139" t="s">
        <v>380</v>
      </c>
      <c r="D147" s="194">
        <v>30435354.004402578</v>
      </c>
      <c r="E147" s="194">
        <v>2563482</v>
      </c>
      <c r="F147" s="195">
        <v>14713405</v>
      </c>
      <c r="G147" s="195">
        <v>409360.36</v>
      </c>
      <c r="H147" s="195">
        <v>10967332</v>
      </c>
      <c r="I147" s="195">
        <v>3250194.3028337136</v>
      </c>
      <c r="J147" s="195">
        <v>555</v>
      </c>
      <c r="K147" s="195">
        <v>4405</v>
      </c>
      <c r="L147" s="195">
        <v>230</v>
      </c>
      <c r="M147" s="195">
        <v>300</v>
      </c>
      <c r="N147" s="195">
        <v>0</v>
      </c>
      <c r="O147" s="195">
        <v>0</v>
      </c>
      <c r="P147" s="195">
        <v>0</v>
      </c>
      <c r="Q147">
        <v>0</v>
      </c>
      <c r="R147">
        <v>0</v>
      </c>
      <c r="S147">
        <v>0</v>
      </c>
      <c r="T147">
        <v>2625</v>
      </c>
      <c r="U147">
        <v>3872</v>
      </c>
      <c r="V147">
        <v>60</v>
      </c>
      <c r="W147">
        <v>177</v>
      </c>
      <c r="X147">
        <v>681</v>
      </c>
      <c r="Y147">
        <v>80</v>
      </c>
      <c r="Z147" s="195">
        <v>91476000</v>
      </c>
      <c r="AA147" s="195">
        <v>90202000</v>
      </c>
      <c r="AD147" s="139" t="s">
        <v>380</v>
      </c>
    </row>
    <row r="148" spans="1:30" x14ac:dyDescent="0.2">
      <c r="A148" t="s">
        <v>690</v>
      </c>
      <c r="B148" s="194"/>
      <c r="C148" s="139" t="s">
        <v>464</v>
      </c>
      <c r="D148" s="194">
        <v>79258725.24294579</v>
      </c>
      <c r="E148" s="194">
        <v>6471811</v>
      </c>
      <c r="F148" s="195">
        <v>77921586</v>
      </c>
      <c r="G148" s="195">
        <v>6623173.5599999996</v>
      </c>
      <c r="H148" s="195">
        <v>38666229</v>
      </c>
      <c r="I148" s="195">
        <v>23500208.188756876</v>
      </c>
      <c r="J148" s="195">
        <v>3054</v>
      </c>
      <c r="K148" s="195">
        <v>16181</v>
      </c>
      <c r="L148" s="195">
        <v>533</v>
      </c>
      <c r="M148" s="195">
        <v>0</v>
      </c>
      <c r="N148" s="195">
        <v>158</v>
      </c>
      <c r="O148" s="195">
        <v>0</v>
      </c>
      <c r="P148" s="195">
        <v>0</v>
      </c>
      <c r="Q148">
        <v>3160</v>
      </c>
      <c r="R148">
        <v>322</v>
      </c>
      <c r="S148">
        <v>0</v>
      </c>
      <c r="T148">
        <v>9791</v>
      </c>
      <c r="U148">
        <v>9203</v>
      </c>
      <c r="V148">
        <v>0</v>
      </c>
      <c r="W148">
        <v>2042</v>
      </c>
      <c r="X148">
        <v>1368</v>
      </c>
      <c r="Y148">
        <v>207</v>
      </c>
      <c r="Z148" s="195">
        <v>335653000</v>
      </c>
      <c r="AA148" s="195">
        <v>352307000</v>
      </c>
      <c r="AD148" s="139" t="s">
        <v>464</v>
      </c>
    </row>
    <row r="149" spans="1:30" x14ac:dyDescent="0.2">
      <c r="A149" t="s">
        <v>694</v>
      </c>
      <c r="B149" s="194"/>
      <c r="C149" s="139" t="s">
        <v>381</v>
      </c>
      <c r="D149" s="194">
        <v>20151008.437617503</v>
      </c>
      <c r="E149" s="194">
        <v>1569680</v>
      </c>
      <c r="F149" s="195">
        <v>8623746</v>
      </c>
      <c r="G149" s="195">
        <v>432119.5</v>
      </c>
      <c r="H149" s="195">
        <v>3911662</v>
      </c>
      <c r="I149" s="195">
        <v>1318617.2020749731</v>
      </c>
      <c r="J149" s="195">
        <v>650</v>
      </c>
      <c r="K149" s="195">
        <v>4509</v>
      </c>
      <c r="L149" s="195">
        <v>157</v>
      </c>
      <c r="M149" s="195">
        <v>0</v>
      </c>
      <c r="N149" s="195">
        <v>0</v>
      </c>
      <c r="O149" s="195">
        <v>0</v>
      </c>
      <c r="P149" s="195">
        <v>0</v>
      </c>
      <c r="Q149">
        <v>0</v>
      </c>
      <c r="R149">
        <v>519</v>
      </c>
      <c r="S149">
        <v>0</v>
      </c>
      <c r="T149">
        <v>2093</v>
      </c>
      <c r="U149">
        <v>3330</v>
      </c>
      <c r="V149">
        <v>388</v>
      </c>
      <c r="W149">
        <v>439</v>
      </c>
      <c r="X149">
        <v>488</v>
      </c>
      <c r="Y149">
        <v>44</v>
      </c>
      <c r="Z149" s="195">
        <v>73855000</v>
      </c>
      <c r="AA149" s="195">
        <v>73903000</v>
      </c>
      <c r="AD149" s="139" t="s">
        <v>381</v>
      </c>
    </row>
    <row r="150" spans="1:30" x14ac:dyDescent="0.2">
      <c r="A150" t="s">
        <v>695</v>
      </c>
      <c r="B150" s="194"/>
      <c r="C150" s="139" t="s">
        <v>547</v>
      </c>
      <c r="D150" s="194">
        <v>73263372.848753586</v>
      </c>
      <c r="E150" s="194">
        <v>6490249</v>
      </c>
      <c r="F150" s="195">
        <v>45216723</v>
      </c>
      <c r="G150" s="195">
        <v>2312854.7599999998</v>
      </c>
      <c r="H150" s="195">
        <v>33616427</v>
      </c>
      <c r="I150" s="195">
        <v>15919907.953862472</v>
      </c>
      <c r="J150" s="195">
        <v>4505</v>
      </c>
      <c r="K150" s="195">
        <v>16395</v>
      </c>
      <c r="L150" s="195">
        <v>484</v>
      </c>
      <c r="M150" s="195">
        <v>127</v>
      </c>
      <c r="N150" s="195">
        <v>0</v>
      </c>
      <c r="O150" s="195">
        <v>0</v>
      </c>
      <c r="P150" s="195">
        <v>0</v>
      </c>
      <c r="Q150">
        <v>1220</v>
      </c>
      <c r="R150">
        <v>292</v>
      </c>
      <c r="S150">
        <v>0</v>
      </c>
      <c r="T150">
        <v>8173</v>
      </c>
      <c r="U150">
        <v>8398</v>
      </c>
      <c r="V150">
        <v>513</v>
      </c>
      <c r="W150">
        <v>1933</v>
      </c>
      <c r="X150">
        <v>1241</v>
      </c>
      <c r="Y150">
        <v>123</v>
      </c>
      <c r="Z150" s="195">
        <v>257619000</v>
      </c>
      <c r="AA150" s="195">
        <v>246412000</v>
      </c>
      <c r="AD150" s="139" t="s">
        <v>547</v>
      </c>
    </row>
    <row r="151" spans="1:30" x14ac:dyDescent="0.2">
      <c r="A151" t="s">
        <v>693</v>
      </c>
      <c r="B151" s="194"/>
      <c r="C151" s="139" t="s">
        <v>540</v>
      </c>
      <c r="D151" s="194">
        <v>10570894.689917374</v>
      </c>
      <c r="E151" s="194">
        <v>875618</v>
      </c>
      <c r="F151" s="195">
        <v>5671528</v>
      </c>
      <c r="G151" s="195">
        <v>480092.72</v>
      </c>
      <c r="H151" s="195">
        <v>3711765</v>
      </c>
      <c r="I151" s="195">
        <v>1707942.9085243291</v>
      </c>
      <c r="J151" s="195">
        <v>201</v>
      </c>
      <c r="K151" s="195">
        <v>1619</v>
      </c>
      <c r="L151" s="195">
        <v>0</v>
      </c>
      <c r="M151" s="195">
        <v>0</v>
      </c>
      <c r="N151" s="195">
        <v>0</v>
      </c>
      <c r="O151" s="195">
        <v>0</v>
      </c>
      <c r="P151" s="195">
        <v>8</v>
      </c>
      <c r="Q151">
        <v>0</v>
      </c>
      <c r="R151">
        <v>0</v>
      </c>
      <c r="S151">
        <v>0</v>
      </c>
      <c r="T151">
        <v>832</v>
      </c>
      <c r="U151">
        <v>1004</v>
      </c>
      <c r="V151">
        <v>149</v>
      </c>
      <c r="W151">
        <v>155</v>
      </c>
      <c r="X151">
        <v>152</v>
      </c>
      <c r="Y151">
        <v>0</v>
      </c>
      <c r="Z151" s="195">
        <v>26997000</v>
      </c>
      <c r="AA151" s="195">
        <v>26874000</v>
      </c>
      <c r="AD151" s="139" t="s">
        <v>540</v>
      </c>
    </row>
    <row r="152" spans="1:30" x14ac:dyDescent="0.2">
      <c r="A152" t="s">
        <v>692</v>
      </c>
      <c r="B152" s="194"/>
      <c r="C152" s="139" t="s">
        <v>263</v>
      </c>
      <c r="D152" s="194">
        <v>10760309.705066845</v>
      </c>
      <c r="E152" s="194">
        <v>1072095</v>
      </c>
      <c r="F152" s="195">
        <v>6207944</v>
      </c>
      <c r="G152" s="195">
        <v>181217.16</v>
      </c>
      <c r="H152" s="195">
        <v>3170465</v>
      </c>
      <c r="I152" s="195">
        <v>1700063.0466759147</v>
      </c>
      <c r="J152" s="195">
        <v>522</v>
      </c>
      <c r="K152" s="195">
        <v>4012</v>
      </c>
      <c r="L152" s="195">
        <v>107</v>
      </c>
      <c r="M152" s="195">
        <v>0</v>
      </c>
      <c r="N152" s="195">
        <v>0</v>
      </c>
      <c r="O152" s="195">
        <v>23</v>
      </c>
      <c r="P152" s="195">
        <v>0</v>
      </c>
      <c r="Q152">
        <v>0</v>
      </c>
      <c r="R152">
        <v>0</v>
      </c>
      <c r="S152">
        <v>0</v>
      </c>
      <c r="T152">
        <v>1199</v>
      </c>
      <c r="U152">
        <v>1080</v>
      </c>
      <c r="V152">
        <v>94</v>
      </c>
      <c r="W152">
        <v>234</v>
      </c>
      <c r="X152">
        <v>283</v>
      </c>
      <c r="Y152">
        <v>4</v>
      </c>
      <c r="Z152" s="195">
        <v>33443000</v>
      </c>
      <c r="AA152" s="195">
        <v>24772000</v>
      </c>
      <c r="AD152" s="139" t="s">
        <v>263</v>
      </c>
    </row>
    <row r="153" spans="1:30" x14ac:dyDescent="0.2">
      <c r="A153" t="s">
        <v>690</v>
      </c>
      <c r="B153" s="194"/>
      <c r="C153" s="139" t="s">
        <v>465</v>
      </c>
      <c r="D153" s="194">
        <v>30159739.697165392</v>
      </c>
      <c r="E153" s="194">
        <v>2923661</v>
      </c>
      <c r="F153" s="195">
        <v>17403670</v>
      </c>
      <c r="G153" s="195">
        <v>562142.18999999994</v>
      </c>
      <c r="H153" s="195">
        <v>8201200</v>
      </c>
      <c r="I153" s="195">
        <v>5195583.4671338471</v>
      </c>
      <c r="J153" s="195">
        <v>962</v>
      </c>
      <c r="K153" s="195">
        <v>6564</v>
      </c>
      <c r="L153" s="195">
        <v>253</v>
      </c>
      <c r="M153" s="195">
        <v>79</v>
      </c>
      <c r="N153" s="195">
        <v>31</v>
      </c>
      <c r="O153" s="195">
        <v>0</v>
      </c>
      <c r="P153" s="195">
        <v>0</v>
      </c>
      <c r="Q153">
        <v>98</v>
      </c>
      <c r="R153">
        <v>0</v>
      </c>
      <c r="S153">
        <v>0</v>
      </c>
      <c r="T153">
        <v>3000</v>
      </c>
      <c r="U153">
        <v>3385</v>
      </c>
      <c r="V153">
        <v>160</v>
      </c>
      <c r="W153">
        <v>900</v>
      </c>
      <c r="X153">
        <v>718</v>
      </c>
      <c r="Y153">
        <v>24</v>
      </c>
      <c r="Z153" s="195">
        <v>103732000</v>
      </c>
      <c r="AA153" s="195">
        <v>101146000</v>
      </c>
      <c r="AD153" s="139" t="s">
        <v>465</v>
      </c>
    </row>
    <row r="154" spans="1:30" x14ac:dyDescent="0.2">
      <c r="A154" t="s">
        <v>694</v>
      </c>
      <c r="B154" s="194"/>
      <c r="C154" s="139" t="s">
        <v>382</v>
      </c>
      <c r="D154" s="194">
        <v>15411138.657623071</v>
      </c>
      <c r="E154" s="194">
        <v>1478363</v>
      </c>
      <c r="F154" s="195">
        <v>8116295</v>
      </c>
      <c r="G154" s="195">
        <v>245150.36</v>
      </c>
      <c r="H154" s="195">
        <v>3172308</v>
      </c>
      <c r="I154" s="195">
        <v>1895999.6342630333</v>
      </c>
      <c r="J154" s="195">
        <v>472</v>
      </c>
      <c r="K154" s="195">
        <v>2813</v>
      </c>
      <c r="L154" s="195">
        <v>0</v>
      </c>
      <c r="M154" s="195">
        <v>0</v>
      </c>
      <c r="N154" s="195">
        <v>0</v>
      </c>
      <c r="O154" s="195">
        <v>0</v>
      </c>
      <c r="P154" s="195">
        <v>0</v>
      </c>
      <c r="Q154">
        <v>0</v>
      </c>
      <c r="R154">
        <v>1723</v>
      </c>
      <c r="S154">
        <v>0</v>
      </c>
      <c r="T154">
        <v>2814</v>
      </c>
      <c r="U154">
        <v>2545</v>
      </c>
      <c r="V154">
        <v>87</v>
      </c>
      <c r="W154">
        <v>270</v>
      </c>
      <c r="X154">
        <v>340</v>
      </c>
      <c r="Y154">
        <v>13</v>
      </c>
      <c r="Z154" s="195">
        <v>45271000</v>
      </c>
      <c r="AA154" s="195">
        <v>50362000</v>
      </c>
      <c r="AD154" s="139" t="s">
        <v>382</v>
      </c>
    </row>
    <row r="155" spans="1:30" x14ac:dyDescent="0.2">
      <c r="A155" t="s">
        <v>690</v>
      </c>
      <c r="B155" s="194"/>
      <c r="C155" s="139" t="s">
        <v>466</v>
      </c>
      <c r="D155" s="194">
        <v>10167921.339243246</v>
      </c>
      <c r="E155" s="194">
        <v>948836</v>
      </c>
      <c r="F155" s="195">
        <v>5423697</v>
      </c>
      <c r="G155" s="195">
        <v>247503.44</v>
      </c>
      <c r="H155" s="195">
        <v>1548752</v>
      </c>
      <c r="I155" s="195">
        <v>1825718.6136758609</v>
      </c>
      <c r="J155" s="195">
        <v>403</v>
      </c>
      <c r="K155" s="195">
        <v>2396</v>
      </c>
      <c r="L155" s="195">
        <v>0</v>
      </c>
      <c r="M155" s="195">
        <v>750</v>
      </c>
      <c r="N155" s="195">
        <v>0</v>
      </c>
      <c r="O155" s="195">
        <v>2</v>
      </c>
      <c r="P155" s="195">
        <v>175</v>
      </c>
      <c r="Q155">
        <v>0</v>
      </c>
      <c r="R155">
        <v>10</v>
      </c>
      <c r="S155">
        <v>0</v>
      </c>
      <c r="T155">
        <v>1580</v>
      </c>
      <c r="U155">
        <v>955</v>
      </c>
      <c r="V155">
        <v>0</v>
      </c>
      <c r="W155">
        <v>282</v>
      </c>
      <c r="X155">
        <v>264</v>
      </c>
      <c r="Y155">
        <v>6</v>
      </c>
      <c r="Z155" s="195">
        <v>31932000</v>
      </c>
      <c r="AA155" s="195">
        <v>31699000</v>
      </c>
      <c r="AD155" s="139" t="s">
        <v>466</v>
      </c>
    </row>
    <row r="156" spans="1:30" x14ac:dyDescent="0.2">
      <c r="A156" t="s">
        <v>691</v>
      </c>
      <c r="B156" s="194"/>
      <c r="C156" s="139" t="s">
        <v>339</v>
      </c>
      <c r="D156" s="194">
        <v>75730654.234008998</v>
      </c>
      <c r="E156" s="194">
        <v>6295946</v>
      </c>
      <c r="F156" s="195">
        <v>47923865</v>
      </c>
      <c r="G156" s="195">
        <v>4921206.34</v>
      </c>
      <c r="H156" s="195">
        <v>26743545</v>
      </c>
      <c r="I156" s="195">
        <v>9793344.6534557454</v>
      </c>
      <c r="J156" s="195">
        <v>3616</v>
      </c>
      <c r="K156" s="195">
        <v>15202</v>
      </c>
      <c r="L156" s="195">
        <v>468</v>
      </c>
      <c r="M156" s="195">
        <v>0</v>
      </c>
      <c r="N156" s="195">
        <v>0</v>
      </c>
      <c r="O156" s="195">
        <v>0</v>
      </c>
      <c r="P156" s="195">
        <v>0</v>
      </c>
      <c r="Q156">
        <v>4477</v>
      </c>
      <c r="R156">
        <v>301</v>
      </c>
      <c r="S156">
        <v>0</v>
      </c>
      <c r="T156">
        <v>8527</v>
      </c>
      <c r="U156">
        <v>8205</v>
      </c>
      <c r="V156">
        <v>1236</v>
      </c>
      <c r="W156">
        <v>3820</v>
      </c>
      <c r="X156">
        <v>1365</v>
      </c>
      <c r="Y156">
        <v>243</v>
      </c>
      <c r="AD156" s="139" t="s">
        <v>339</v>
      </c>
    </row>
    <row r="157" spans="1:30" x14ac:dyDescent="0.2">
      <c r="A157" t="s">
        <v>695</v>
      </c>
      <c r="B157" s="194"/>
      <c r="C157" s="139" t="s">
        <v>226</v>
      </c>
      <c r="D157" s="194">
        <v>25646200.825771116</v>
      </c>
      <c r="E157" s="194">
        <v>2795599</v>
      </c>
      <c r="F157" s="195">
        <v>12609250</v>
      </c>
      <c r="G157" s="195">
        <v>500897.1</v>
      </c>
      <c r="H157" s="195">
        <v>5951446</v>
      </c>
      <c r="I157" s="195">
        <v>3254946.2837606142</v>
      </c>
      <c r="J157" s="195">
        <v>1055</v>
      </c>
      <c r="K157" s="195">
        <v>5383</v>
      </c>
      <c r="L157" s="195">
        <v>0</v>
      </c>
      <c r="M157" s="195">
        <v>408</v>
      </c>
      <c r="N157" s="195">
        <v>0</v>
      </c>
      <c r="O157" s="195">
        <v>1</v>
      </c>
      <c r="P157" s="195">
        <v>72</v>
      </c>
      <c r="Q157">
        <v>0</v>
      </c>
      <c r="R157">
        <v>0</v>
      </c>
      <c r="S157">
        <v>0</v>
      </c>
      <c r="T157">
        <v>4832</v>
      </c>
      <c r="U157">
        <v>3376</v>
      </c>
      <c r="V157">
        <v>245</v>
      </c>
      <c r="W157">
        <v>739</v>
      </c>
      <c r="X157">
        <v>546</v>
      </c>
      <c r="Y157">
        <v>40</v>
      </c>
      <c r="Z157" s="195">
        <v>74823000</v>
      </c>
      <c r="AA157" s="195">
        <v>76912000</v>
      </c>
      <c r="AD157" s="139" t="s">
        <v>226</v>
      </c>
    </row>
    <row r="158" spans="1:30" x14ac:dyDescent="0.2">
      <c r="A158" t="s">
        <v>691</v>
      </c>
      <c r="B158" s="194"/>
      <c r="C158" s="139" t="s">
        <v>340</v>
      </c>
      <c r="D158" s="194">
        <v>36102183.502690285</v>
      </c>
      <c r="E158" s="194">
        <v>2940436</v>
      </c>
      <c r="F158" s="195">
        <v>16539277</v>
      </c>
      <c r="G158" s="195">
        <v>1086442.42</v>
      </c>
      <c r="H158" s="195">
        <v>8186513</v>
      </c>
      <c r="I158" s="195">
        <v>3849834.4448029143</v>
      </c>
      <c r="J158" s="195">
        <v>1485</v>
      </c>
      <c r="K158" s="195">
        <v>7301</v>
      </c>
      <c r="L158" s="195">
        <v>0</v>
      </c>
      <c r="M158" s="195">
        <v>76</v>
      </c>
      <c r="N158" s="195">
        <v>0</v>
      </c>
      <c r="O158" s="195">
        <v>0</v>
      </c>
      <c r="P158" s="195">
        <v>179</v>
      </c>
      <c r="Q158">
        <v>0</v>
      </c>
      <c r="R158">
        <v>0</v>
      </c>
      <c r="S158">
        <v>0</v>
      </c>
      <c r="T158">
        <v>4021</v>
      </c>
      <c r="U158">
        <v>5499</v>
      </c>
      <c r="V158">
        <v>337</v>
      </c>
      <c r="W158">
        <v>1068</v>
      </c>
      <c r="X158">
        <v>809</v>
      </c>
      <c r="Y158">
        <v>46</v>
      </c>
      <c r="Z158" s="195">
        <v>87717000</v>
      </c>
      <c r="AA158" s="195">
        <v>87511000</v>
      </c>
      <c r="AD158" s="139" t="s">
        <v>340</v>
      </c>
    </row>
    <row r="159" spans="1:30" x14ac:dyDescent="0.2">
      <c r="A159" t="s">
        <v>689</v>
      </c>
      <c r="B159" s="194"/>
      <c r="C159" s="139" t="s">
        <v>166</v>
      </c>
      <c r="D159" s="194">
        <v>48384096.682707578</v>
      </c>
      <c r="E159" s="194">
        <v>5185733</v>
      </c>
      <c r="F159" s="195">
        <v>39800330</v>
      </c>
      <c r="G159" s="195">
        <v>1045382.4</v>
      </c>
      <c r="H159" s="195">
        <v>20328877</v>
      </c>
      <c r="I159" s="195">
        <v>16721844.93358914</v>
      </c>
      <c r="J159" s="195">
        <v>1536</v>
      </c>
      <c r="K159" s="195">
        <v>8666</v>
      </c>
      <c r="L159" s="195">
        <v>0</v>
      </c>
      <c r="M159" s="195">
        <v>105</v>
      </c>
      <c r="N159" s="195">
        <v>0</v>
      </c>
      <c r="O159" s="195">
        <v>0</v>
      </c>
      <c r="P159" s="195">
        <v>0</v>
      </c>
      <c r="Q159">
        <v>2839</v>
      </c>
      <c r="R159">
        <v>100</v>
      </c>
      <c r="S159">
        <v>0</v>
      </c>
      <c r="T159">
        <v>4390</v>
      </c>
      <c r="U159">
        <v>5498</v>
      </c>
      <c r="V159">
        <v>863</v>
      </c>
      <c r="W159">
        <v>835</v>
      </c>
      <c r="X159">
        <v>856</v>
      </c>
      <c r="Y159">
        <v>80</v>
      </c>
      <c r="Z159" s="195">
        <v>160213000</v>
      </c>
      <c r="AA159" s="195">
        <v>163272000</v>
      </c>
      <c r="AD159" s="139" t="s">
        <v>166</v>
      </c>
    </row>
    <row r="160" spans="1:30" x14ac:dyDescent="0.2">
      <c r="A160" t="s">
        <v>698</v>
      </c>
      <c r="B160" s="194"/>
      <c r="C160" s="139" t="s">
        <v>183</v>
      </c>
      <c r="D160" s="194">
        <v>34956954.695788614</v>
      </c>
      <c r="E160" s="194">
        <v>3777715</v>
      </c>
      <c r="F160" s="195">
        <v>27417733</v>
      </c>
      <c r="G160" s="195">
        <v>1487894.38</v>
      </c>
      <c r="H160" s="195">
        <v>18853128</v>
      </c>
      <c r="I160" s="195">
        <v>9843014.4599853698</v>
      </c>
      <c r="J160" s="195">
        <v>1164</v>
      </c>
      <c r="K160" s="195">
        <v>5381</v>
      </c>
      <c r="L160" s="195">
        <v>0</v>
      </c>
      <c r="M160" s="195">
        <v>115</v>
      </c>
      <c r="N160" s="195">
        <v>0</v>
      </c>
      <c r="O160" s="195">
        <v>0</v>
      </c>
      <c r="P160" s="195">
        <v>10</v>
      </c>
      <c r="Q160">
        <v>0</v>
      </c>
      <c r="R160">
        <v>0</v>
      </c>
      <c r="S160">
        <v>0</v>
      </c>
      <c r="T160">
        <v>3168</v>
      </c>
      <c r="U160">
        <v>3043</v>
      </c>
      <c r="V160">
        <v>175</v>
      </c>
      <c r="W160">
        <v>690</v>
      </c>
      <c r="X160">
        <v>618</v>
      </c>
      <c r="Y160">
        <v>15</v>
      </c>
      <c r="Z160" s="195">
        <v>139273000</v>
      </c>
      <c r="AA160" s="195">
        <v>142002000</v>
      </c>
      <c r="AD160" s="139" t="s">
        <v>183</v>
      </c>
    </row>
    <row r="161" spans="1:30" x14ac:dyDescent="0.2">
      <c r="A161" t="s">
        <v>691</v>
      </c>
      <c r="B161" s="194"/>
      <c r="C161" s="139" t="s">
        <v>341</v>
      </c>
      <c r="D161" s="194">
        <v>65686036.457872197</v>
      </c>
      <c r="E161" s="194">
        <v>4840961</v>
      </c>
      <c r="F161" s="195">
        <v>45189951</v>
      </c>
      <c r="G161" s="195">
        <v>3393072.44</v>
      </c>
      <c r="H161" s="195">
        <v>22681871</v>
      </c>
      <c r="I161" s="195">
        <v>7708849.4005148774</v>
      </c>
      <c r="J161" s="195">
        <v>1558</v>
      </c>
      <c r="K161" s="195">
        <v>8489</v>
      </c>
      <c r="L161" s="195">
        <v>307</v>
      </c>
      <c r="M161" s="195">
        <v>0</v>
      </c>
      <c r="N161" s="195">
        <v>796</v>
      </c>
      <c r="O161" s="195">
        <v>0</v>
      </c>
      <c r="P161" s="195">
        <v>0</v>
      </c>
      <c r="Q161">
        <v>3862</v>
      </c>
      <c r="R161">
        <v>230</v>
      </c>
      <c r="S161">
        <v>0</v>
      </c>
      <c r="T161">
        <v>5169</v>
      </c>
      <c r="U161">
        <v>9697</v>
      </c>
      <c r="V161">
        <v>409</v>
      </c>
      <c r="W161">
        <v>953</v>
      </c>
      <c r="X161">
        <v>1376</v>
      </c>
      <c r="Y161">
        <v>125</v>
      </c>
      <c r="Z161" s="195">
        <v>202189000</v>
      </c>
      <c r="AA161" s="195">
        <v>203819000</v>
      </c>
      <c r="AD161" s="139" t="s">
        <v>341</v>
      </c>
    </row>
    <row r="162" spans="1:30" x14ac:dyDescent="0.2">
      <c r="A162" t="s">
        <v>699</v>
      </c>
      <c r="B162" s="194"/>
      <c r="C162" s="139" t="s">
        <v>505</v>
      </c>
      <c r="D162" s="194">
        <v>29782368.421954155</v>
      </c>
      <c r="E162" s="194">
        <v>2864053</v>
      </c>
      <c r="F162" s="195">
        <v>16367975</v>
      </c>
      <c r="G162" s="195">
        <v>587989.34</v>
      </c>
      <c r="H162" s="195">
        <v>6200122</v>
      </c>
      <c r="I162" s="195">
        <v>5124916.5196789838</v>
      </c>
      <c r="J162" s="195">
        <v>1284</v>
      </c>
      <c r="K162" s="195">
        <v>8272</v>
      </c>
      <c r="L162" s="195">
        <v>0</v>
      </c>
      <c r="M162" s="195">
        <v>2083</v>
      </c>
      <c r="N162" s="195">
        <v>89</v>
      </c>
      <c r="O162" s="195">
        <v>3</v>
      </c>
      <c r="P162" s="195">
        <v>0</v>
      </c>
      <c r="Q162">
        <v>0</v>
      </c>
      <c r="R162">
        <v>17</v>
      </c>
      <c r="S162">
        <v>0</v>
      </c>
      <c r="T162">
        <v>3779</v>
      </c>
      <c r="U162">
        <v>2761</v>
      </c>
      <c r="V162">
        <v>18</v>
      </c>
      <c r="W162">
        <v>940</v>
      </c>
      <c r="X162">
        <v>774</v>
      </c>
      <c r="Y162">
        <v>38</v>
      </c>
      <c r="Z162" s="195">
        <v>87361000</v>
      </c>
      <c r="AA162" s="195">
        <v>90952000</v>
      </c>
      <c r="AD162" s="139" t="s">
        <v>505</v>
      </c>
    </row>
    <row r="163" spans="1:30" x14ac:dyDescent="0.2">
      <c r="A163" t="s">
        <v>697</v>
      </c>
      <c r="B163" s="194"/>
      <c r="C163" s="139" t="s">
        <v>301</v>
      </c>
      <c r="D163" s="194">
        <v>33335745.05591508</v>
      </c>
      <c r="E163" s="194">
        <v>1994302</v>
      </c>
      <c r="F163" s="195">
        <v>15264353</v>
      </c>
      <c r="G163" s="195">
        <v>594810.04</v>
      </c>
      <c r="H163" s="195">
        <v>6683298</v>
      </c>
      <c r="I163" s="195">
        <v>2369559.4066336579</v>
      </c>
      <c r="J163" s="195">
        <v>1792</v>
      </c>
      <c r="K163" s="195">
        <v>9731</v>
      </c>
      <c r="L163" s="195">
        <v>160</v>
      </c>
      <c r="M163" s="195">
        <v>162</v>
      </c>
      <c r="N163" s="195">
        <v>0</v>
      </c>
      <c r="O163" s="195">
        <v>0</v>
      </c>
      <c r="P163" s="195">
        <v>0</v>
      </c>
      <c r="Q163">
        <v>0</v>
      </c>
      <c r="R163">
        <v>0</v>
      </c>
      <c r="S163">
        <v>0</v>
      </c>
      <c r="T163">
        <v>2583</v>
      </c>
      <c r="U163">
        <v>3879</v>
      </c>
      <c r="V163">
        <v>127</v>
      </c>
      <c r="W163">
        <v>551</v>
      </c>
      <c r="X163">
        <v>818</v>
      </c>
      <c r="Y163">
        <v>0</v>
      </c>
      <c r="Z163" s="195">
        <v>89971000</v>
      </c>
      <c r="AA163" s="195">
        <v>89965000</v>
      </c>
      <c r="AD163" s="139" t="s">
        <v>301</v>
      </c>
    </row>
    <row r="164" spans="1:30" x14ac:dyDescent="0.2">
      <c r="A164" t="s">
        <v>691</v>
      </c>
      <c r="B164" s="194"/>
      <c r="C164" s="139" t="s">
        <v>342</v>
      </c>
      <c r="D164" s="194">
        <v>31369751.738724552</v>
      </c>
      <c r="E164" s="194">
        <v>2692955</v>
      </c>
      <c r="F164" s="195">
        <v>14347141</v>
      </c>
      <c r="G164" s="195">
        <v>489810.68</v>
      </c>
      <c r="H164" s="195">
        <v>9567792</v>
      </c>
      <c r="I164" s="195">
        <v>3082386.1315697921</v>
      </c>
      <c r="J164" s="195">
        <v>469</v>
      </c>
      <c r="K164" s="195">
        <v>3486</v>
      </c>
      <c r="L164" s="195">
        <v>0</v>
      </c>
      <c r="M164" s="195">
        <v>96</v>
      </c>
      <c r="N164" s="195">
        <v>0</v>
      </c>
      <c r="O164" s="195">
        <v>0</v>
      </c>
      <c r="P164" s="195">
        <v>0</v>
      </c>
      <c r="Q164">
        <v>4</v>
      </c>
      <c r="R164">
        <v>104</v>
      </c>
      <c r="S164">
        <v>0</v>
      </c>
      <c r="T164">
        <v>4368</v>
      </c>
      <c r="U164">
        <v>4397</v>
      </c>
      <c r="V164">
        <v>620</v>
      </c>
      <c r="W164">
        <v>527</v>
      </c>
      <c r="X164">
        <v>681</v>
      </c>
      <c r="Y164">
        <v>80</v>
      </c>
      <c r="Z164" s="195">
        <v>84197000</v>
      </c>
      <c r="AA164" s="195">
        <v>85340000</v>
      </c>
      <c r="AD164" s="139" t="s">
        <v>342</v>
      </c>
    </row>
    <row r="165" spans="1:30" x14ac:dyDescent="0.2">
      <c r="A165" t="s">
        <v>701</v>
      </c>
      <c r="B165" s="194"/>
      <c r="C165" s="139" t="s">
        <v>423</v>
      </c>
      <c r="D165" s="194">
        <v>22709454.54665783</v>
      </c>
      <c r="E165" s="194">
        <v>2349455</v>
      </c>
      <c r="F165" s="195">
        <v>12851425</v>
      </c>
      <c r="G165" s="195">
        <v>642547.72</v>
      </c>
      <c r="H165" s="195">
        <v>4793631</v>
      </c>
      <c r="I165" s="195">
        <v>4745297.5187366819</v>
      </c>
      <c r="J165" s="195">
        <v>609</v>
      </c>
      <c r="K165" s="195">
        <v>3632</v>
      </c>
      <c r="L165" s="195">
        <v>150</v>
      </c>
      <c r="M165" s="195">
        <v>85</v>
      </c>
      <c r="N165" s="195">
        <v>110</v>
      </c>
      <c r="O165" s="195">
        <v>0</v>
      </c>
      <c r="P165" s="195">
        <v>210</v>
      </c>
      <c r="Q165">
        <v>884</v>
      </c>
      <c r="R165">
        <v>800</v>
      </c>
      <c r="S165">
        <v>0</v>
      </c>
      <c r="T165">
        <v>3099</v>
      </c>
      <c r="U165">
        <v>3150</v>
      </c>
      <c r="V165">
        <v>140</v>
      </c>
      <c r="W165">
        <v>444</v>
      </c>
      <c r="X165">
        <v>496</v>
      </c>
      <c r="Y165">
        <v>14</v>
      </c>
      <c r="Z165" s="195">
        <v>63699000</v>
      </c>
      <c r="AA165" s="195">
        <v>64369000</v>
      </c>
      <c r="AD165" s="139" t="s">
        <v>423</v>
      </c>
    </row>
    <row r="166" spans="1:30" x14ac:dyDescent="0.2">
      <c r="A166" t="s">
        <v>697</v>
      </c>
      <c r="B166" s="194"/>
      <c r="C166" s="139" t="s">
        <v>302</v>
      </c>
      <c r="D166" s="194">
        <v>25981625.968862183</v>
      </c>
      <c r="E166" s="194">
        <v>1919212</v>
      </c>
      <c r="F166" s="195">
        <v>12354957</v>
      </c>
      <c r="G166" s="195">
        <v>431425.16000000003</v>
      </c>
      <c r="H166" s="195">
        <v>6611077</v>
      </c>
      <c r="I166" s="195">
        <v>2895039.7873477419</v>
      </c>
      <c r="J166" s="195">
        <v>537</v>
      </c>
      <c r="K166" s="195">
        <v>4125</v>
      </c>
      <c r="L166" s="195">
        <v>104</v>
      </c>
      <c r="M166" s="195">
        <v>0</v>
      </c>
      <c r="N166" s="195">
        <v>0</v>
      </c>
      <c r="O166" s="195">
        <v>0</v>
      </c>
      <c r="P166" s="195">
        <v>0</v>
      </c>
      <c r="Q166">
        <v>1289</v>
      </c>
      <c r="R166">
        <v>0</v>
      </c>
      <c r="S166">
        <v>0</v>
      </c>
      <c r="T166">
        <v>2884</v>
      </c>
      <c r="U166">
        <v>3013</v>
      </c>
      <c r="V166">
        <v>193</v>
      </c>
      <c r="W166">
        <v>581</v>
      </c>
      <c r="X166">
        <v>679</v>
      </c>
      <c r="Y166">
        <v>53</v>
      </c>
      <c r="Z166" s="195">
        <v>75464000</v>
      </c>
      <c r="AA166" s="195">
        <v>77924000</v>
      </c>
      <c r="AD166" s="139" t="s">
        <v>302</v>
      </c>
    </row>
    <row r="167" spans="1:30" x14ac:dyDescent="0.2">
      <c r="A167" t="s">
        <v>694</v>
      </c>
      <c r="B167" s="194"/>
      <c r="C167" s="139" t="s">
        <v>383</v>
      </c>
      <c r="D167" s="194">
        <v>17435175.545049418</v>
      </c>
      <c r="E167" s="194">
        <v>1465130</v>
      </c>
      <c r="F167" s="195">
        <v>6989439</v>
      </c>
      <c r="G167" s="195">
        <v>311107.62</v>
      </c>
      <c r="H167" s="195">
        <v>3121564</v>
      </c>
      <c r="I167" s="195">
        <v>1443490.0795970601</v>
      </c>
      <c r="J167" s="195">
        <v>529</v>
      </c>
      <c r="K167" s="195">
        <v>4325</v>
      </c>
      <c r="L167" s="195">
        <v>54</v>
      </c>
      <c r="M167" s="195">
        <v>0</v>
      </c>
      <c r="N167" s="195">
        <v>0</v>
      </c>
      <c r="O167" s="195">
        <v>0</v>
      </c>
      <c r="P167" s="195">
        <v>311</v>
      </c>
      <c r="Q167">
        <v>0</v>
      </c>
      <c r="R167">
        <v>2505</v>
      </c>
      <c r="S167">
        <v>5</v>
      </c>
      <c r="T167">
        <v>3625</v>
      </c>
      <c r="U167">
        <v>2817</v>
      </c>
      <c r="V167">
        <v>78</v>
      </c>
      <c r="W167">
        <v>967</v>
      </c>
      <c r="X167">
        <v>466</v>
      </c>
      <c r="Y167">
        <v>11</v>
      </c>
      <c r="Z167" s="195">
        <v>54944000</v>
      </c>
      <c r="AA167" s="195">
        <v>55657000</v>
      </c>
      <c r="AD167" s="139" t="s">
        <v>383</v>
      </c>
    </row>
    <row r="168" spans="1:30" x14ac:dyDescent="0.2">
      <c r="A168" t="s">
        <v>695</v>
      </c>
      <c r="B168" s="194"/>
      <c r="C168" s="139" t="s">
        <v>227</v>
      </c>
      <c r="D168" s="194">
        <v>43114398.444803968</v>
      </c>
      <c r="E168" s="194">
        <v>3572883</v>
      </c>
      <c r="F168" s="195">
        <v>24917319</v>
      </c>
      <c r="G168" s="195">
        <v>945062.7</v>
      </c>
      <c r="H168" s="195">
        <v>11066154</v>
      </c>
      <c r="I168" s="195">
        <v>6901152.61454219</v>
      </c>
      <c r="J168" s="195">
        <v>1201</v>
      </c>
      <c r="K168" s="195">
        <v>7048</v>
      </c>
      <c r="L168" s="195">
        <v>304</v>
      </c>
      <c r="M168" s="195">
        <v>15</v>
      </c>
      <c r="N168" s="195">
        <v>100</v>
      </c>
      <c r="O168" s="195">
        <v>0</v>
      </c>
      <c r="P168" s="195">
        <v>0</v>
      </c>
      <c r="Q168">
        <v>1515</v>
      </c>
      <c r="R168">
        <v>175</v>
      </c>
      <c r="S168">
        <v>0</v>
      </c>
      <c r="T168">
        <v>2946</v>
      </c>
      <c r="U168">
        <v>4896</v>
      </c>
      <c r="V168">
        <v>920</v>
      </c>
      <c r="W168">
        <v>1114</v>
      </c>
      <c r="X168">
        <v>839</v>
      </c>
      <c r="Y168">
        <v>63</v>
      </c>
      <c r="Z168" s="195">
        <v>163322000</v>
      </c>
      <c r="AA168" s="195">
        <v>162954000</v>
      </c>
      <c r="AD168" s="139" t="s">
        <v>227</v>
      </c>
    </row>
    <row r="169" spans="1:30" x14ac:dyDescent="0.2">
      <c r="A169" t="s">
        <v>701</v>
      </c>
      <c r="B169" s="194"/>
      <c r="C169" s="139" t="s">
        <v>424</v>
      </c>
      <c r="D169" s="194">
        <v>9117944.3467034586</v>
      </c>
      <c r="E169" s="194">
        <v>803347</v>
      </c>
      <c r="F169" s="195">
        <v>3724566</v>
      </c>
      <c r="G169" s="195">
        <v>235300.97999999998</v>
      </c>
      <c r="H169" s="195">
        <v>1186148</v>
      </c>
      <c r="I169" s="195">
        <v>826751.63188399153</v>
      </c>
      <c r="J169" s="195">
        <v>360</v>
      </c>
      <c r="K169" s="195">
        <v>1805</v>
      </c>
      <c r="L169" s="195">
        <v>63</v>
      </c>
      <c r="M169" s="195">
        <v>170</v>
      </c>
      <c r="N169" s="195">
        <v>0</v>
      </c>
      <c r="O169" s="195">
        <v>0</v>
      </c>
      <c r="P169" s="195">
        <v>43</v>
      </c>
      <c r="Q169">
        <v>0</v>
      </c>
      <c r="R169">
        <v>200</v>
      </c>
      <c r="S169">
        <v>0</v>
      </c>
      <c r="T169">
        <v>1370</v>
      </c>
      <c r="U169">
        <v>1244</v>
      </c>
      <c r="V169">
        <v>226</v>
      </c>
      <c r="W169">
        <v>356</v>
      </c>
      <c r="X169">
        <v>190</v>
      </c>
      <c r="Y169">
        <v>10</v>
      </c>
      <c r="Z169" s="195">
        <v>27383000</v>
      </c>
      <c r="AA169" s="195">
        <v>28364000</v>
      </c>
      <c r="AD169" s="139" t="s">
        <v>424</v>
      </c>
    </row>
    <row r="170" spans="1:30" x14ac:dyDescent="0.2">
      <c r="A170" t="s">
        <v>694</v>
      </c>
      <c r="B170" s="194"/>
      <c r="C170" s="139" t="s">
        <v>384</v>
      </c>
      <c r="D170" s="194">
        <v>45161068.689971849</v>
      </c>
      <c r="E170" s="194">
        <v>4251197</v>
      </c>
      <c r="F170" s="195">
        <v>24906266</v>
      </c>
      <c r="G170" s="195">
        <v>775188.41999999993</v>
      </c>
      <c r="H170" s="195">
        <v>11012333</v>
      </c>
      <c r="I170" s="195">
        <v>6678769.2412714008</v>
      </c>
      <c r="J170" s="195">
        <v>1495</v>
      </c>
      <c r="K170" s="195">
        <v>8061</v>
      </c>
      <c r="L170" s="195">
        <v>356</v>
      </c>
      <c r="M170" s="195">
        <v>262</v>
      </c>
      <c r="N170" s="195">
        <v>0</v>
      </c>
      <c r="O170" s="195">
        <v>0</v>
      </c>
      <c r="P170" s="195">
        <v>0</v>
      </c>
      <c r="Q170">
        <v>2179</v>
      </c>
      <c r="R170">
        <v>3138</v>
      </c>
      <c r="S170">
        <v>8</v>
      </c>
      <c r="T170">
        <v>4379</v>
      </c>
      <c r="U170">
        <v>6627</v>
      </c>
      <c r="V170">
        <v>272</v>
      </c>
      <c r="W170">
        <v>1200</v>
      </c>
      <c r="X170">
        <v>1296</v>
      </c>
      <c r="Y170">
        <v>169</v>
      </c>
      <c r="Z170" s="195">
        <v>153443000</v>
      </c>
      <c r="AA170" s="195">
        <v>159189000</v>
      </c>
      <c r="AD170" s="139" t="s">
        <v>384</v>
      </c>
    </row>
    <row r="171" spans="1:30" x14ac:dyDescent="0.2">
      <c r="A171" t="s">
        <v>699</v>
      </c>
      <c r="B171" s="194"/>
      <c r="C171" s="139" t="s">
        <v>506</v>
      </c>
      <c r="D171" s="194">
        <v>44674196.222865105</v>
      </c>
      <c r="E171" s="194">
        <v>5368544</v>
      </c>
      <c r="F171" s="195">
        <v>45695056</v>
      </c>
      <c r="G171" s="195">
        <v>707522.14</v>
      </c>
      <c r="H171" s="195">
        <v>25301278</v>
      </c>
      <c r="I171" s="195">
        <v>25178204.410502795</v>
      </c>
      <c r="J171" s="195">
        <v>1671</v>
      </c>
      <c r="K171" s="195">
        <v>8413</v>
      </c>
      <c r="L171" s="195">
        <v>418</v>
      </c>
      <c r="M171" s="195">
        <v>130</v>
      </c>
      <c r="N171" s="195">
        <v>70</v>
      </c>
      <c r="O171" s="195">
        <v>0</v>
      </c>
      <c r="P171" s="195">
        <v>0</v>
      </c>
      <c r="Q171">
        <v>585</v>
      </c>
      <c r="R171">
        <v>94</v>
      </c>
      <c r="S171">
        <v>0</v>
      </c>
      <c r="T171">
        <v>4812</v>
      </c>
      <c r="U171">
        <v>4747</v>
      </c>
      <c r="V171">
        <v>70</v>
      </c>
      <c r="W171">
        <v>367</v>
      </c>
      <c r="X171">
        <v>606</v>
      </c>
      <c r="Y171">
        <v>114</v>
      </c>
      <c r="Z171" s="195">
        <v>167008000</v>
      </c>
      <c r="AA171" s="195">
        <v>173873000</v>
      </c>
      <c r="AD171" s="139" t="s">
        <v>506</v>
      </c>
    </row>
    <row r="172" spans="1:30" x14ac:dyDescent="0.2">
      <c r="A172" t="s">
        <v>691</v>
      </c>
      <c r="B172" s="194"/>
      <c r="C172" s="139" t="s">
        <v>343</v>
      </c>
      <c r="D172" s="194">
        <v>15345270.951490868</v>
      </c>
      <c r="E172" s="194">
        <v>1204072</v>
      </c>
      <c r="F172" s="195">
        <v>6695621</v>
      </c>
      <c r="G172" s="195">
        <v>381087.58</v>
      </c>
      <c r="H172" s="195">
        <v>2265154</v>
      </c>
      <c r="I172" s="195">
        <v>1086029.7808914662</v>
      </c>
      <c r="J172" s="195">
        <v>336</v>
      </c>
      <c r="K172" s="195">
        <v>2216</v>
      </c>
      <c r="L172" s="195">
        <v>90</v>
      </c>
      <c r="M172" s="195">
        <v>0</v>
      </c>
      <c r="N172" s="195">
        <v>0</v>
      </c>
      <c r="O172" s="195">
        <v>0</v>
      </c>
      <c r="P172" s="195">
        <v>57</v>
      </c>
      <c r="Q172">
        <v>0</v>
      </c>
      <c r="R172">
        <v>0</v>
      </c>
      <c r="S172">
        <v>0</v>
      </c>
      <c r="T172">
        <v>1382</v>
      </c>
      <c r="U172">
        <v>2725</v>
      </c>
      <c r="V172">
        <v>35</v>
      </c>
      <c r="W172">
        <v>325</v>
      </c>
      <c r="X172">
        <v>307</v>
      </c>
      <c r="Y172">
        <v>4</v>
      </c>
      <c r="Z172" s="195">
        <v>45147000</v>
      </c>
      <c r="AA172" s="195">
        <v>46156000</v>
      </c>
      <c r="AD172" s="139" t="s">
        <v>343</v>
      </c>
    </row>
    <row r="173" spans="1:30" x14ac:dyDescent="0.2">
      <c r="A173" t="s">
        <v>693</v>
      </c>
      <c r="B173" s="194"/>
      <c r="C173" s="139" t="s">
        <v>535</v>
      </c>
      <c r="D173" s="194">
        <v>11106359.667169359</v>
      </c>
      <c r="E173" s="194">
        <v>1041770</v>
      </c>
      <c r="F173" s="195">
        <v>8816466</v>
      </c>
      <c r="G173" s="195">
        <v>280688.24</v>
      </c>
      <c r="H173" s="195">
        <v>4340896</v>
      </c>
      <c r="I173" s="195">
        <v>3181716.4731359542</v>
      </c>
      <c r="J173" s="195">
        <v>299</v>
      </c>
      <c r="K173" s="195">
        <v>1678</v>
      </c>
      <c r="L173" s="195">
        <v>49</v>
      </c>
      <c r="M173" s="195">
        <v>40</v>
      </c>
      <c r="N173" s="195">
        <v>0</v>
      </c>
      <c r="O173" s="195">
        <v>0</v>
      </c>
      <c r="P173" s="195">
        <v>10</v>
      </c>
      <c r="Q173">
        <v>0</v>
      </c>
      <c r="R173">
        <v>0</v>
      </c>
      <c r="S173">
        <v>0</v>
      </c>
      <c r="T173">
        <v>1434</v>
      </c>
      <c r="U173">
        <v>1136</v>
      </c>
      <c r="V173">
        <v>147</v>
      </c>
      <c r="W173">
        <v>200</v>
      </c>
      <c r="X173">
        <v>227</v>
      </c>
      <c r="Y173">
        <v>0</v>
      </c>
      <c r="Z173" s="195">
        <v>32512000</v>
      </c>
      <c r="AA173" s="195">
        <v>32651000</v>
      </c>
      <c r="AD173" s="139" t="s">
        <v>535</v>
      </c>
    </row>
    <row r="174" spans="1:30" x14ac:dyDescent="0.2">
      <c r="A174" t="s">
        <v>694</v>
      </c>
      <c r="B174" s="194"/>
      <c r="C174" s="139" t="s">
        <v>385</v>
      </c>
      <c r="D174" s="194">
        <v>7917129.8480988517</v>
      </c>
      <c r="E174" s="194">
        <v>674889</v>
      </c>
      <c r="F174" s="195">
        <v>3514368</v>
      </c>
      <c r="G174" s="195">
        <v>164089.70000000001</v>
      </c>
      <c r="H174" s="195">
        <v>1000611</v>
      </c>
      <c r="I174" s="195">
        <v>567956.47197081416</v>
      </c>
      <c r="J174" s="195">
        <v>188</v>
      </c>
      <c r="K174" s="195">
        <v>1625</v>
      </c>
      <c r="L174" s="195">
        <v>87</v>
      </c>
      <c r="M174" s="195">
        <v>53</v>
      </c>
      <c r="N174" s="195">
        <v>0</v>
      </c>
      <c r="O174" s="195">
        <v>0</v>
      </c>
      <c r="P174" s="195">
        <v>0</v>
      </c>
      <c r="Q174">
        <v>0</v>
      </c>
      <c r="R174">
        <v>0</v>
      </c>
      <c r="S174">
        <v>0</v>
      </c>
      <c r="T174">
        <v>1392</v>
      </c>
      <c r="U174">
        <v>0</v>
      </c>
      <c r="V174">
        <v>216</v>
      </c>
      <c r="W174">
        <v>380</v>
      </c>
      <c r="X174">
        <v>177</v>
      </c>
      <c r="Y174">
        <v>0</v>
      </c>
      <c r="Z174" s="195">
        <v>19237000</v>
      </c>
      <c r="AA174" s="195">
        <v>19992000</v>
      </c>
      <c r="AD174" s="139" t="s">
        <v>385</v>
      </c>
    </row>
    <row r="175" spans="1:30" x14ac:dyDescent="0.2">
      <c r="A175" t="s">
        <v>694</v>
      </c>
      <c r="B175" s="194"/>
      <c r="C175" s="139" t="s">
        <v>386</v>
      </c>
      <c r="D175" s="194">
        <v>22227477.465453491</v>
      </c>
      <c r="E175" s="194">
        <v>2174730</v>
      </c>
      <c r="F175" s="195">
        <v>12393449</v>
      </c>
      <c r="G175" s="195">
        <v>362447</v>
      </c>
      <c r="H175" s="195">
        <v>5788921</v>
      </c>
      <c r="I175" s="195">
        <v>3090613.1771284668</v>
      </c>
      <c r="J175" s="195">
        <v>933</v>
      </c>
      <c r="K175" s="195">
        <v>4826</v>
      </c>
      <c r="L175" s="195">
        <v>151</v>
      </c>
      <c r="M175" s="195">
        <v>0</v>
      </c>
      <c r="N175" s="195">
        <v>0</v>
      </c>
      <c r="O175" s="195">
        <v>0</v>
      </c>
      <c r="P175" s="195">
        <v>0</v>
      </c>
      <c r="Q175">
        <v>0</v>
      </c>
      <c r="R175">
        <v>0</v>
      </c>
      <c r="S175">
        <v>0</v>
      </c>
      <c r="T175">
        <v>3025</v>
      </c>
      <c r="U175">
        <v>3189</v>
      </c>
      <c r="V175">
        <v>364</v>
      </c>
      <c r="W175">
        <v>170</v>
      </c>
      <c r="X175">
        <v>487</v>
      </c>
      <c r="Y175">
        <v>37</v>
      </c>
      <c r="Z175" s="195">
        <v>70967000</v>
      </c>
      <c r="AA175" s="195">
        <v>72416000</v>
      </c>
      <c r="AD175" s="139" t="s">
        <v>386</v>
      </c>
    </row>
    <row r="176" spans="1:30" x14ac:dyDescent="0.2">
      <c r="A176" t="s">
        <v>694</v>
      </c>
      <c r="B176" s="194"/>
      <c r="C176" s="139" t="s">
        <v>595</v>
      </c>
      <c r="D176" s="194">
        <v>46370970.126992837</v>
      </c>
      <c r="E176" s="194">
        <v>3484244</v>
      </c>
      <c r="F176" s="195">
        <v>18161768</v>
      </c>
      <c r="G176" s="195">
        <v>839624.54</v>
      </c>
      <c r="H176" s="195">
        <v>8617118</v>
      </c>
      <c r="I176" s="195">
        <v>2655484.1010588058</v>
      </c>
      <c r="J176" s="195">
        <v>1665</v>
      </c>
      <c r="K176" s="195">
        <v>9051</v>
      </c>
      <c r="L176" s="195">
        <v>247</v>
      </c>
      <c r="M176" s="195">
        <v>99</v>
      </c>
      <c r="N176" s="195">
        <v>0</v>
      </c>
      <c r="O176" s="195">
        <v>0</v>
      </c>
      <c r="P176" s="195">
        <v>0</v>
      </c>
      <c r="Q176">
        <v>0</v>
      </c>
      <c r="R176">
        <v>0</v>
      </c>
      <c r="S176">
        <v>0</v>
      </c>
      <c r="T176">
        <v>6229</v>
      </c>
      <c r="U176">
        <v>5381</v>
      </c>
      <c r="V176">
        <v>651</v>
      </c>
      <c r="W176">
        <v>1614</v>
      </c>
      <c r="X176">
        <v>871</v>
      </c>
      <c r="Y176">
        <v>64</v>
      </c>
      <c r="Z176" s="195">
        <v>119678000</v>
      </c>
      <c r="AA176" s="195">
        <v>120052000</v>
      </c>
      <c r="AD176" s="139" t="s">
        <v>595</v>
      </c>
    </row>
    <row r="177" spans="1:30" x14ac:dyDescent="0.2">
      <c r="A177" t="s">
        <v>690</v>
      </c>
      <c r="B177" s="194"/>
      <c r="C177" s="139" t="s">
        <v>467</v>
      </c>
      <c r="D177" s="194">
        <v>14365445.991255071</v>
      </c>
      <c r="E177" s="194">
        <v>1526845</v>
      </c>
      <c r="F177" s="195">
        <v>9402332</v>
      </c>
      <c r="G177" s="195">
        <v>316971.87</v>
      </c>
      <c r="H177" s="195">
        <v>2834873</v>
      </c>
      <c r="I177" s="195">
        <v>2912717.0526283272</v>
      </c>
      <c r="J177" s="195">
        <v>528</v>
      </c>
      <c r="K177" s="195">
        <v>3079</v>
      </c>
      <c r="L177" s="195">
        <v>0</v>
      </c>
      <c r="M177" s="195">
        <v>0</v>
      </c>
      <c r="N177" s="195">
        <v>17</v>
      </c>
      <c r="O177" s="195">
        <v>1</v>
      </c>
      <c r="P177" s="195">
        <v>0</v>
      </c>
      <c r="Q177">
        <v>0</v>
      </c>
      <c r="R177">
        <v>0</v>
      </c>
      <c r="S177">
        <v>0</v>
      </c>
      <c r="T177">
        <v>1690</v>
      </c>
      <c r="U177">
        <v>1489</v>
      </c>
      <c r="V177">
        <v>0</v>
      </c>
      <c r="W177">
        <v>395</v>
      </c>
      <c r="X177">
        <v>351</v>
      </c>
      <c r="Y177">
        <v>19</v>
      </c>
      <c r="Z177" s="195">
        <v>39542000</v>
      </c>
      <c r="AA177" s="195">
        <v>40312000</v>
      </c>
      <c r="AD177" s="139" t="s">
        <v>467</v>
      </c>
    </row>
    <row r="178" spans="1:30" x14ac:dyDescent="0.2">
      <c r="A178" t="s">
        <v>690</v>
      </c>
      <c r="B178" s="194"/>
      <c r="C178" s="139" t="s">
        <v>468</v>
      </c>
      <c r="D178" s="194">
        <v>10062485.368723392</v>
      </c>
      <c r="E178" s="194">
        <v>978752</v>
      </c>
      <c r="F178" s="195">
        <v>7373509</v>
      </c>
      <c r="G178" s="195">
        <v>247512.72</v>
      </c>
      <c r="H178" s="195">
        <v>1539610</v>
      </c>
      <c r="I178" s="195">
        <v>2421024.5857022307</v>
      </c>
      <c r="J178" s="195">
        <v>533</v>
      </c>
      <c r="K178" s="195">
        <v>2497</v>
      </c>
      <c r="L178" s="195">
        <v>0</v>
      </c>
      <c r="M178" s="195">
        <v>258</v>
      </c>
      <c r="N178" s="195">
        <v>0</v>
      </c>
      <c r="O178" s="195">
        <v>0</v>
      </c>
      <c r="P178" s="195">
        <v>13</v>
      </c>
      <c r="Q178">
        <v>0</v>
      </c>
      <c r="R178">
        <v>5</v>
      </c>
      <c r="S178">
        <v>0</v>
      </c>
      <c r="T178">
        <v>1040</v>
      </c>
      <c r="U178">
        <v>1367</v>
      </c>
      <c r="V178">
        <v>51</v>
      </c>
      <c r="W178">
        <v>640</v>
      </c>
      <c r="X178">
        <v>230</v>
      </c>
      <c r="Y178">
        <v>9</v>
      </c>
      <c r="Z178" s="195">
        <v>30677000</v>
      </c>
      <c r="AA178" s="195">
        <v>32218000</v>
      </c>
      <c r="AD178" s="139" t="s">
        <v>468</v>
      </c>
    </row>
    <row r="179" spans="1:30" x14ac:dyDescent="0.2">
      <c r="A179" t="s">
        <v>699</v>
      </c>
      <c r="B179" s="194"/>
      <c r="C179" s="139" t="s">
        <v>507</v>
      </c>
      <c r="D179" s="194">
        <v>31313653.512657061</v>
      </c>
      <c r="E179" s="194">
        <v>3854423</v>
      </c>
      <c r="F179" s="195">
        <v>28541873</v>
      </c>
      <c r="G179" s="195">
        <v>536600.84</v>
      </c>
      <c r="H179" s="195">
        <v>14382314</v>
      </c>
      <c r="I179" s="195">
        <v>13631382.725363614</v>
      </c>
      <c r="J179" s="195">
        <v>819</v>
      </c>
      <c r="K179" s="195">
        <v>6206</v>
      </c>
      <c r="L179" s="195">
        <v>370</v>
      </c>
      <c r="M179" s="195">
        <v>101</v>
      </c>
      <c r="N179" s="195">
        <v>0</v>
      </c>
      <c r="O179" s="195">
        <v>0</v>
      </c>
      <c r="P179" s="195">
        <v>0</v>
      </c>
      <c r="Q179">
        <v>0</v>
      </c>
      <c r="R179">
        <v>27</v>
      </c>
      <c r="S179">
        <v>0</v>
      </c>
      <c r="T179">
        <v>4357</v>
      </c>
      <c r="U179">
        <v>3527</v>
      </c>
      <c r="V179">
        <v>20</v>
      </c>
      <c r="W179">
        <v>285</v>
      </c>
      <c r="X179">
        <v>531</v>
      </c>
      <c r="Y179">
        <v>35</v>
      </c>
      <c r="Z179" s="195">
        <v>105446000</v>
      </c>
      <c r="AA179" s="195">
        <v>106024000</v>
      </c>
      <c r="AD179" s="139" t="s">
        <v>507</v>
      </c>
    </row>
    <row r="180" spans="1:30" x14ac:dyDescent="0.2">
      <c r="A180" t="s">
        <v>691</v>
      </c>
      <c r="B180" s="194"/>
      <c r="C180" s="139" t="s">
        <v>344</v>
      </c>
      <c r="D180" s="194">
        <v>7838727.5754719302</v>
      </c>
      <c r="E180" s="194">
        <v>665501</v>
      </c>
      <c r="F180" s="195">
        <v>2898818</v>
      </c>
      <c r="G180" s="195">
        <v>142395.66</v>
      </c>
      <c r="H180" s="195">
        <v>1539030</v>
      </c>
      <c r="I180" s="195">
        <v>324538.90777173743</v>
      </c>
      <c r="J180" s="195">
        <v>194</v>
      </c>
      <c r="K180" s="195">
        <v>2061</v>
      </c>
      <c r="L180" s="195">
        <v>47</v>
      </c>
      <c r="M180" s="195">
        <v>14</v>
      </c>
      <c r="N180" s="195">
        <v>0</v>
      </c>
      <c r="O180" s="195">
        <v>0</v>
      </c>
      <c r="P180" s="195">
        <v>0</v>
      </c>
      <c r="Q180">
        <v>0</v>
      </c>
      <c r="R180">
        <v>43</v>
      </c>
      <c r="S180">
        <v>3</v>
      </c>
      <c r="T180">
        <v>1056</v>
      </c>
      <c r="U180">
        <v>1157</v>
      </c>
      <c r="V180">
        <v>181</v>
      </c>
      <c r="W180">
        <v>445</v>
      </c>
      <c r="X180">
        <v>214</v>
      </c>
      <c r="Y180">
        <v>9</v>
      </c>
      <c r="Z180" s="195">
        <v>24007000</v>
      </c>
      <c r="AA180" s="195">
        <v>24568000</v>
      </c>
      <c r="AD180" s="139" t="s">
        <v>344</v>
      </c>
    </row>
    <row r="181" spans="1:30" x14ac:dyDescent="0.2">
      <c r="A181" t="s">
        <v>691</v>
      </c>
      <c r="B181" s="194"/>
      <c r="C181" s="139" t="s">
        <v>345</v>
      </c>
      <c r="D181" s="194">
        <v>17809087.829330787</v>
      </c>
      <c r="E181" s="194">
        <v>1470136</v>
      </c>
      <c r="F181" s="195">
        <v>9428210</v>
      </c>
      <c r="G181" s="195">
        <v>362086.5</v>
      </c>
      <c r="H181" s="195">
        <v>3697192</v>
      </c>
      <c r="I181" s="195">
        <v>1592821.0067858405</v>
      </c>
      <c r="J181" s="195">
        <v>647</v>
      </c>
      <c r="K181" s="195">
        <v>4000</v>
      </c>
      <c r="L181" s="195">
        <v>98</v>
      </c>
      <c r="M181" s="195">
        <v>64</v>
      </c>
      <c r="N181" s="195">
        <v>0</v>
      </c>
      <c r="O181" s="195">
        <v>0</v>
      </c>
      <c r="P181" s="195">
        <v>22</v>
      </c>
      <c r="Q181">
        <v>0</v>
      </c>
      <c r="R181">
        <v>0</v>
      </c>
      <c r="S181">
        <v>0</v>
      </c>
      <c r="T181">
        <v>2894</v>
      </c>
      <c r="U181">
        <v>2617</v>
      </c>
      <c r="V181">
        <v>235</v>
      </c>
      <c r="W181">
        <v>792</v>
      </c>
      <c r="X181">
        <v>407</v>
      </c>
      <c r="Y181">
        <v>5</v>
      </c>
      <c r="AD181" s="139" t="s">
        <v>345</v>
      </c>
    </row>
    <row r="182" spans="1:30" x14ac:dyDescent="0.2">
      <c r="A182" t="s">
        <v>694</v>
      </c>
      <c r="B182" s="194"/>
      <c r="C182" s="139" t="s">
        <v>387</v>
      </c>
      <c r="D182" s="194">
        <v>39895942.025992729</v>
      </c>
      <c r="E182" s="194">
        <v>2183905</v>
      </c>
      <c r="F182" s="195">
        <v>14140050</v>
      </c>
      <c r="G182" s="195">
        <v>573518.86</v>
      </c>
      <c r="H182" s="195">
        <v>7101463</v>
      </c>
      <c r="I182" s="195">
        <v>1556361.7794907745</v>
      </c>
      <c r="J182" s="195">
        <v>2365</v>
      </c>
      <c r="K182" s="195">
        <v>12445</v>
      </c>
      <c r="L182" s="195">
        <v>278</v>
      </c>
      <c r="M182" s="195">
        <v>0</v>
      </c>
      <c r="N182" s="195">
        <v>0</v>
      </c>
      <c r="O182" s="195">
        <v>0</v>
      </c>
      <c r="P182" s="195">
        <v>0</v>
      </c>
      <c r="Q182">
        <v>0</v>
      </c>
      <c r="R182">
        <v>236</v>
      </c>
      <c r="S182">
        <v>0</v>
      </c>
      <c r="T182">
        <v>5679</v>
      </c>
      <c r="U182">
        <v>6223</v>
      </c>
      <c r="V182">
        <v>244</v>
      </c>
      <c r="W182">
        <v>1569</v>
      </c>
      <c r="X182">
        <v>921</v>
      </c>
      <c r="Y182">
        <v>64</v>
      </c>
      <c r="Z182" s="195">
        <v>135285000</v>
      </c>
      <c r="AA182" s="195">
        <v>134147000</v>
      </c>
      <c r="AD182" s="139" t="s">
        <v>387</v>
      </c>
    </row>
    <row r="183" spans="1:30" x14ac:dyDescent="0.2">
      <c r="A183" t="s">
        <v>691</v>
      </c>
      <c r="B183" s="194"/>
      <c r="C183" s="139" t="s">
        <v>346</v>
      </c>
      <c r="D183" s="194">
        <v>6673508.4319910556</v>
      </c>
      <c r="E183" s="194">
        <v>734904</v>
      </c>
      <c r="F183" s="195">
        <v>2581193</v>
      </c>
      <c r="G183" s="195">
        <v>70175.520000000004</v>
      </c>
      <c r="H183" s="195">
        <v>1323396</v>
      </c>
      <c r="I183" s="195">
        <v>387501.47023063363</v>
      </c>
      <c r="J183" s="195">
        <v>372</v>
      </c>
      <c r="K183" s="195">
        <v>3823</v>
      </c>
      <c r="L183" s="195">
        <v>74</v>
      </c>
      <c r="M183" s="195">
        <v>0</v>
      </c>
      <c r="N183" s="195">
        <v>0</v>
      </c>
      <c r="O183" s="195">
        <v>0</v>
      </c>
      <c r="P183" s="195">
        <v>0</v>
      </c>
      <c r="Q183">
        <v>0</v>
      </c>
      <c r="R183">
        <v>860</v>
      </c>
      <c r="S183">
        <v>0</v>
      </c>
      <c r="T183">
        <v>949</v>
      </c>
      <c r="U183">
        <v>1132</v>
      </c>
      <c r="V183">
        <v>120</v>
      </c>
      <c r="W183">
        <v>454</v>
      </c>
      <c r="X183">
        <v>217</v>
      </c>
      <c r="Y183">
        <v>71</v>
      </c>
      <c r="Z183" s="195">
        <v>21137000</v>
      </c>
      <c r="AA183" s="195">
        <v>21573000</v>
      </c>
      <c r="AD183" s="139" t="s">
        <v>346</v>
      </c>
    </row>
    <row r="184" spans="1:30" x14ac:dyDescent="0.2">
      <c r="A184" t="s">
        <v>698</v>
      </c>
      <c r="B184" s="194"/>
      <c r="C184" s="139" t="s">
        <v>184</v>
      </c>
      <c r="D184" s="194">
        <v>15980296.308262207</v>
      </c>
      <c r="E184" s="194">
        <v>1712808</v>
      </c>
      <c r="F184" s="195">
        <v>11345548</v>
      </c>
      <c r="G184" s="195">
        <v>329912.64</v>
      </c>
      <c r="H184" s="195">
        <v>5241318</v>
      </c>
      <c r="I184" s="195">
        <v>3731945.3584988187</v>
      </c>
      <c r="J184" s="195">
        <v>457</v>
      </c>
      <c r="K184" s="195">
        <v>3192</v>
      </c>
      <c r="L184" s="195">
        <v>0</v>
      </c>
      <c r="M184" s="195">
        <v>0</v>
      </c>
      <c r="N184" s="195">
        <v>0</v>
      </c>
      <c r="O184" s="195">
        <v>0</v>
      </c>
      <c r="P184" s="195">
        <v>5</v>
      </c>
      <c r="Q184">
        <v>0</v>
      </c>
      <c r="R184">
        <v>0</v>
      </c>
      <c r="S184">
        <v>0</v>
      </c>
      <c r="T184">
        <v>2110</v>
      </c>
      <c r="U184">
        <v>2147</v>
      </c>
      <c r="V184">
        <v>183</v>
      </c>
      <c r="W184">
        <v>460</v>
      </c>
      <c r="X184">
        <v>279</v>
      </c>
      <c r="Y184">
        <v>12</v>
      </c>
      <c r="Z184" s="195">
        <v>51095000</v>
      </c>
      <c r="AA184" s="195">
        <v>51225000</v>
      </c>
      <c r="AD184" s="139" t="s">
        <v>184</v>
      </c>
    </row>
    <row r="185" spans="1:30" x14ac:dyDescent="0.2">
      <c r="A185" t="s">
        <v>694</v>
      </c>
      <c r="B185" s="194"/>
      <c r="C185" s="139" t="s">
        <v>388</v>
      </c>
      <c r="D185" s="194">
        <v>16901211.79937952</v>
      </c>
      <c r="E185" s="194">
        <v>1693242</v>
      </c>
      <c r="F185" s="195">
        <v>10569830</v>
      </c>
      <c r="G185" s="195">
        <v>332515.94</v>
      </c>
      <c r="H185" s="195">
        <v>4659877</v>
      </c>
      <c r="I185" s="195">
        <v>2561519.5114672557</v>
      </c>
      <c r="J185" s="195">
        <v>730</v>
      </c>
      <c r="K185" s="195">
        <v>3966</v>
      </c>
      <c r="L185" s="195">
        <v>120</v>
      </c>
      <c r="M185" s="195">
        <v>0</v>
      </c>
      <c r="N185" s="195">
        <v>0</v>
      </c>
      <c r="O185" s="195">
        <v>0</v>
      </c>
      <c r="P185" s="195">
        <v>0</v>
      </c>
      <c r="Q185">
        <v>502</v>
      </c>
      <c r="R185">
        <v>199</v>
      </c>
      <c r="S185">
        <v>0</v>
      </c>
      <c r="T185">
        <v>2705</v>
      </c>
      <c r="U185">
        <v>2090</v>
      </c>
      <c r="V185">
        <v>358</v>
      </c>
      <c r="W185">
        <v>432</v>
      </c>
      <c r="X185">
        <v>393</v>
      </c>
      <c r="Y185">
        <v>41</v>
      </c>
      <c r="Z185" s="195">
        <v>54946000</v>
      </c>
      <c r="AA185" s="195">
        <v>54913000</v>
      </c>
      <c r="AD185" s="139" t="s">
        <v>388</v>
      </c>
    </row>
    <row r="186" spans="1:30" x14ac:dyDescent="0.2">
      <c r="A186" t="s">
        <v>693</v>
      </c>
      <c r="B186" s="194"/>
      <c r="C186" s="139" t="s">
        <v>205</v>
      </c>
      <c r="D186" s="194">
        <v>119927362.06730241</v>
      </c>
      <c r="E186" s="194">
        <v>8750324</v>
      </c>
      <c r="F186" s="195">
        <v>115615739</v>
      </c>
      <c r="G186" s="195">
        <v>23551732</v>
      </c>
      <c r="H186" s="195">
        <v>72855749</v>
      </c>
      <c r="I186" s="195">
        <v>23221376.46433901</v>
      </c>
      <c r="J186" s="195">
        <v>6384</v>
      </c>
      <c r="K186" s="195">
        <v>20938</v>
      </c>
      <c r="L186" s="195">
        <v>458</v>
      </c>
      <c r="M186" s="195">
        <v>0</v>
      </c>
      <c r="N186" s="195">
        <v>0</v>
      </c>
      <c r="O186" s="195">
        <v>0</v>
      </c>
      <c r="P186" s="195">
        <v>0</v>
      </c>
      <c r="Q186">
        <v>2938</v>
      </c>
      <c r="R186">
        <v>388</v>
      </c>
      <c r="S186">
        <v>0</v>
      </c>
      <c r="T186">
        <v>11224</v>
      </c>
      <c r="U186">
        <v>11353</v>
      </c>
      <c r="V186">
        <v>781</v>
      </c>
      <c r="W186">
        <v>2509</v>
      </c>
      <c r="X186">
        <v>1647</v>
      </c>
      <c r="Y186">
        <v>241</v>
      </c>
      <c r="Z186" s="195">
        <v>489980008</v>
      </c>
      <c r="AA186" s="195">
        <v>493280000</v>
      </c>
      <c r="AD186" s="139" t="s">
        <v>205</v>
      </c>
    </row>
    <row r="187" spans="1:30" x14ac:dyDescent="0.2">
      <c r="A187" t="s">
        <v>693</v>
      </c>
      <c r="B187" s="194"/>
      <c r="C187" s="139" t="s">
        <v>206</v>
      </c>
      <c r="D187" s="194">
        <v>8408604.1068650354</v>
      </c>
      <c r="E187" s="194">
        <v>826821</v>
      </c>
      <c r="F187" s="195">
        <v>4842013</v>
      </c>
      <c r="G187" s="195">
        <v>154901.35999999999</v>
      </c>
      <c r="H187" s="195">
        <v>2279592</v>
      </c>
      <c r="I187" s="195">
        <v>1165033.5543844232</v>
      </c>
      <c r="J187" s="195">
        <v>143</v>
      </c>
      <c r="K187" s="195">
        <v>1715</v>
      </c>
      <c r="L187" s="195">
        <v>53</v>
      </c>
      <c r="M187" s="195">
        <v>0</v>
      </c>
      <c r="N187" s="195">
        <v>0</v>
      </c>
      <c r="O187" s="195">
        <v>0</v>
      </c>
      <c r="P187" s="195">
        <v>3</v>
      </c>
      <c r="Q187">
        <v>0</v>
      </c>
      <c r="R187">
        <v>1</v>
      </c>
      <c r="S187">
        <v>0</v>
      </c>
      <c r="T187">
        <v>898</v>
      </c>
      <c r="U187">
        <v>1150</v>
      </c>
      <c r="V187">
        <v>0</v>
      </c>
      <c r="W187">
        <v>152</v>
      </c>
      <c r="X187">
        <v>171</v>
      </c>
      <c r="Y187">
        <v>12</v>
      </c>
      <c r="Z187" s="195">
        <v>22065000</v>
      </c>
      <c r="AA187" s="195">
        <v>21747000</v>
      </c>
      <c r="AD187" s="139" t="s">
        <v>206</v>
      </c>
    </row>
    <row r="188" spans="1:30" x14ac:dyDescent="0.2">
      <c r="A188" t="s">
        <v>694</v>
      </c>
      <c r="B188" s="194"/>
      <c r="C188" s="139" t="s">
        <v>389</v>
      </c>
      <c r="D188" s="194">
        <v>125056973.93445796</v>
      </c>
      <c r="E188" s="194">
        <v>6902174</v>
      </c>
      <c r="F188" s="195">
        <v>83574297</v>
      </c>
      <c r="G188" s="195">
        <v>14374868.48</v>
      </c>
      <c r="H188" s="195">
        <v>45927489</v>
      </c>
      <c r="I188" s="195">
        <v>20578020.884884998</v>
      </c>
      <c r="J188" s="195">
        <v>12620</v>
      </c>
      <c r="K188" s="195">
        <v>34135</v>
      </c>
      <c r="L188" s="195">
        <v>0</v>
      </c>
      <c r="M188" s="195">
        <v>380</v>
      </c>
      <c r="N188" s="195">
        <v>0</v>
      </c>
      <c r="O188" s="195">
        <v>0</v>
      </c>
      <c r="P188" s="195">
        <v>0</v>
      </c>
      <c r="Q188">
        <v>11315</v>
      </c>
      <c r="R188">
        <v>8249</v>
      </c>
      <c r="S188">
        <v>0</v>
      </c>
      <c r="T188">
        <v>6041</v>
      </c>
      <c r="U188">
        <v>11189</v>
      </c>
      <c r="V188">
        <v>0</v>
      </c>
      <c r="W188">
        <v>3229</v>
      </c>
      <c r="X188">
        <v>2235</v>
      </c>
      <c r="Y188">
        <v>448</v>
      </c>
      <c r="Z188" s="195">
        <v>459729992</v>
      </c>
      <c r="AA188" s="195">
        <v>466736000</v>
      </c>
      <c r="AD188" s="139" t="s">
        <v>389</v>
      </c>
    </row>
    <row r="189" spans="1:30" x14ac:dyDescent="0.2">
      <c r="A189" t="s">
        <v>694</v>
      </c>
      <c r="B189" s="194"/>
      <c r="C189" s="139" t="s">
        <v>390</v>
      </c>
      <c r="D189" s="194">
        <v>20395652.194903664</v>
      </c>
      <c r="E189" s="194">
        <v>1845990</v>
      </c>
      <c r="F189" s="195">
        <v>9948620</v>
      </c>
      <c r="G189" s="195">
        <v>236110.98</v>
      </c>
      <c r="H189" s="195">
        <v>5032544</v>
      </c>
      <c r="I189" s="195">
        <v>2776893.6880613146</v>
      </c>
      <c r="J189" s="195">
        <v>923</v>
      </c>
      <c r="K189" s="195">
        <v>6218</v>
      </c>
      <c r="L189" s="195">
        <v>93</v>
      </c>
      <c r="M189" s="195">
        <v>98</v>
      </c>
      <c r="N189" s="195">
        <v>0</v>
      </c>
      <c r="O189" s="195">
        <v>0</v>
      </c>
      <c r="P189" s="195">
        <v>0</v>
      </c>
      <c r="Q189">
        <v>0</v>
      </c>
      <c r="R189">
        <v>622</v>
      </c>
      <c r="S189">
        <v>0</v>
      </c>
      <c r="T189">
        <v>1619</v>
      </c>
      <c r="U189">
        <v>2964</v>
      </c>
      <c r="V189">
        <v>429</v>
      </c>
      <c r="W189">
        <v>295</v>
      </c>
      <c r="X189">
        <v>426</v>
      </c>
      <c r="Y189">
        <v>11</v>
      </c>
      <c r="Z189" s="195">
        <v>84175000</v>
      </c>
      <c r="AA189" s="195">
        <v>82198000</v>
      </c>
      <c r="AD189" s="139" t="s">
        <v>390</v>
      </c>
    </row>
    <row r="190" spans="1:30" x14ac:dyDescent="0.2">
      <c r="A190" t="s">
        <v>694</v>
      </c>
      <c r="B190" s="194"/>
      <c r="C190" s="139" t="s">
        <v>391</v>
      </c>
      <c r="D190" s="194">
        <v>62575690.632496729</v>
      </c>
      <c r="E190" s="194">
        <v>5847411</v>
      </c>
      <c r="F190" s="195">
        <v>25115536</v>
      </c>
      <c r="G190" s="195">
        <v>780032.46</v>
      </c>
      <c r="H190" s="195">
        <v>21809371</v>
      </c>
      <c r="I190" s="195">
        <v>5883492.3147461154</v>
      </c>
      <c r="J190" s="195">
        <v>0</v>
      </c>
      <c r="K190" s="195">
        <v>10495</v>
      </c>
      <c r="L190" s="195">
        <v>235</v>
      </c>
      <c r="M190" s="195">
        <v>108</v>
      </c>
      <c r="N190" s="195">
        <v>158</v>
      </c>
      <c r="O190" s="195">
        <v>0</v>
      </c>
      <c r="P190" s="195">
        <v>0</v>
      </c>
      <c r="Q190">
        <v>193</v>
      </c>
      <c r="R190">
        <v>424</v>
      </c>
      <c r="S190">
        <v>0</v>
      </c>
      <c r="T190">
        <v>4988</v>
      </c>
      <c r="U190">
        <v>11019</v>
      </c>
      <c r="V190">
        <v>1074</v>
      </c>
      <c r="W190">
        <v>1494</v>
      </c>
      <c r="X190">
        <v>1526</v>
      </c>
      <c r="Y190">
        <v>96</v>
      </c>
      <c r="Z190" s="195">
        <v>187761000</v>
      </c>
      <c r="AA190" s="195">
        <v>201693000</v>
      </c>
      <c r="AD190" s="139" t="s">
        <v>391</v>
      </c>
    </row>
    <row r="191" spans="1:30" x14ac:dyDescent="0.2">
      <c r="A191" t="s">
        <v>696</v>
      </c>
      <c r="B191" s="194"/>
      <c r="C191" s="139" t="s">
        <v>531</v>
      </c>
      <c r="D191" s="194">
        <v>86534420.991472036</v>
      </c>
      <c r="E191" s="194">
        <v>4690336</v>
      </c>
      <c r="F191" s="195">
        <v>46234783</v>
      </c>
      <c r="G191" s="195">
        <v>2146423.42</v>
      </c>
      <c r="H191" s="195">
        <v>32363954</v>
      </c>
      <c r="I191" s="195">
        <v>11141890.245185696</v>
      </c>
      <c r="J191" s="195">
        <v>0</v>
      </c>
      <c r="K191" s="195">
        <v>21170</v>
      </c>
      <c r="L191" s="195">
        <v>591</v>
      </c>
      <c r="M191" s="195">
        <v>0</v>
      </c>
      <c r="N191" s="195">
        <v>0</v>
      </c>
      <c r="O191" s="195">
        <v>0</v>
      </c>
      <c r="P191" s="195">
        <v>0</v>
      </c>
      <c r="Q191">
        <v>2447</v>
      </c>
      <c r="R191">
        <v>1760</v>
      </c>
      <c r="S191">
        <v>0</v>
      </c>
      <c r="T191">
        <v>3753</v>
      </c>
      <c r="U191">
        <v>8023</v>
      </c>
      <c r="V191">
        <v>372</v>
      </c>
      <c r="W191">
        <v>800</v>
      </c>
      <c r="X191">
        <v>1352</v>
      </c>
      <c r="Y191">
        <v>159</v>
      </c>
      <c r="Z191" s="195">
        <v>274983000</v>
      </c>
      <c r="AA191" s="195">
        <v>271548000</v>
      </c>
      <c r="AD191" s="139" t="s">
        <v>531</v>
      </c>
    </row>
    <row r="192" spans="1:30" x14ac:dyDescent="0.2">
      <c r="A192" t="s">
        <v>699</v>
      </c>
      <c r="B192" s="194"/>
      <c r="C192" s="139" t="s">
        <v>508</v>
      </c>
      <c r="D192" s="194">
        <v>26347431.532435067</v>
      </c>
      <c r="E192" s="194">
        <v>2551272</v>
      </c>
      <c r="F192" s="195">
        <v>15897875</v>
      </c>
      <c r="G192" s="195">
        <v>481666.82</v>
      </c>
      <c r="H192" s="195">
        <v>5061157</v>
      </c>
      <c r="I192" s="195">
        <v>4747750.4881355148</v>
      </c>
      <c r="J192" s="195">
        <v>879</v>
      </c>
      <c r="K192" s="195">
        <v>4785</v>
      </c>
      <c r="L192" s="195">
        <v>236</v>
      </c>
      <c r="M192" s="195">
        <v>558</v>
      </c>
      <c r="N192" s="195">
        <v>0</v>
      </c>
      <c r="O192" s="195">
        <v>14</v>
      </c>
      <c r="P192" s="195">
        <v>0</v>
      </c>
      <c r="Q192">
        <v>0</v>
      </c>
      <c r="R192">
        <v>0</v>
      </c>
      <c r="S192">
        <v>0</v>
      </c>
      <c r="T192">
        <v>4497</v>
      </c>
      <c r="U192">
        <v>2537</v>
      </c>
      <c r="V192">
        <v>15</v>
      </c>
      <c r="W192">
        <v>666</v>
      </c>
      <c r="X192">
        <v>593</v>
      </c>
      <c r="Y192">
        <v>6</v>
      </c>
      <c r="Z192" s="195">
        <v>75877000</v>
      </c>
      <c r="AA192" s="195">
        <v>80226000</v>
      </c>
      <c r="AD192" s="139" t="s">
        <v>508</v>
      </c>
    </row>
    <row r="193" spans="1:30" x14ac:dyDescent="0.2">
      <c r="A193" t="s">
        <v>697</v>
      </c>
      <c r="B193" s="194"/>
      <c r="C193" s="139" t="s">
        <v>303</v>
      </c>
      <c r="D193" s="194">
        <v>18208039.910601772</v>
      </c>
      <c r="E193" s="194">
        <v>1604686</v>
      </c>
      <c r="F193" s="195">
        <v>8636323</v>
      </c>
      <c r="G193" s="195">
        <v>323764</v>
      </c>
      <c r="H193" s="195">
        <v>3618677</v>
      </c>
      <c r="I193" s="195">
        <v>1736266.6351820086</v>
      </c>
      <c r="J193" s="195">
        <v>938</v>
      </c>
      <c r="K193" s="195">
        <v>5361</v>
      </c>
      <c r="L193" s="195">
        <v>187</v>
      </c>
      <c r="M193" s="195">
        <v>156</v>
      </c>
      <c r="N193" s="195">
        <v>0</v>
      </c>
      <c r="O193" s="195">
        <v>0</v>
      </c>
      <c r="P193" s="195">
        <v>0</v>
      </c>
      <c r="Q193">
        <v>0</v>
      </c>
      <c r="R193">
        <v>20</v>
      </c>
      <c r="S193">
        <v>0</v>
      </c>
      <c r="T193">
        <v>1424</v>
      </c>
      <c r="U193">
        <v>2139</v>
      </c>
      <c r="V193">
        <v>33</v>
      </c>
      <c r="W193">
        <v>377</v>
      </c>
      <c r="X193">
        <v>483</v>
      </c>
      <c r="Y193">
        <v>28</v>
      </c>
      <c r="Z193" s="195">
        <v>50891000</v>
      </c>
      <c r="AA193" s="195">
        <v>51246000</v>
      </c>
      <c r="AD193" s="139" t="s">
        <v>303</v>
      </c>
    </row>
    <row r="194" spans="1:30" x14ac:dyDescent="0.2">
      <c r="A194" t="s">
        <v>692</v>
      </c>
      <c r="B194" s="194"/>
      <c r="C194" s="139" t="s">
        <v>264</v>
      </c>
      <c r="D194" s="194">
        <v>7903601.9640406556</v>
      </c>
      <c r="E194" s="194">
        <v>652262</v>
      </c>
      <c r="F194" s="195">
        <v>3229655</v>
      </c>
      <c r="G194" s="195">
        <v>153238.98000000001</v>
      </c>
      <c r="H194" s="195">
        <v>1395432</v>
      </c>
      <c r="I194" s="195">
        <v>550785.24692373793</v>
      </c>
      <c r="J194" s="195">
        <v>293</v>
      </c>
      <c r="K194" s="195">
        <v>1765</v>
      </c>
      <c r="L194" s="195">
        <v>0</v>
      </c>
      <c r="M194" s="195">
        <v>40</v>
      </c>
      <c r="N194" s="195">
        <v>0</v>
      </c>
      <c r="O194" s="195">
        <v>0</v>
      </c>
      <c r="P194" s="195">
        <v>0</v>
      </c>
      <c r="Q194">
        <v>0</v>
      </c>
      <c r="R194">
        <v>245</v>
      </c>
      <c r="S194">
        <v>0</v>
      </c>
      <c r="T194">
        <v>1333</v>
      </c>
      <c r="U194">
        <v>0</v>
      </c>
      <c r="V194">
        <v>150</v>
      </c>
      <c r="W194">
        <v>250</v>
      </c>
      <c r="X194">
        <v>180</v>
      </c>
      <c r="Y194">
        <v>17</v>
      </c>
      <c r="Z194" s="195">
        <v>22260000</v>
      </c>
      <c r="AA194" s="195">
        <v>21651000</v>
      </c>
      <c r="AD194" s="139" t="s">
        <v>264</v>
      </c>
    </row>
    <row r="195" spans="1:30" x14ac:dyDescent="0.2">
      <c r="A195" t="s">
        <v>692</v>
      </c>
      <c r="B195" s="194"/>
      <c r="C195" s="139" t="s">
        <v>265</v>
      </c>
      <c r="D195" s="194">
        <v>31026012.729553826</v>
      </c>
      <c r="E195" s="194">
        <v>3085586</v>
      </c>
      <c r="F195" s="195">
        <v>18486649</v>
      </c>
      <c r="G195" s="195">
        <v>603947.48</v>
      </c>
      <c r="H195" s="195">
        <v>7130214</v>
      </c>
      <c r="I195" s="195">
        <v>5494761.2003139863</v>
      </c>
      <c r="J195" s="195">
        <v>963</v>
      </c>
      <c r="K195" s="195">
        <v>9667</v>
      </c>
      <c r="L195" s="195">
        <v>222</v>
      </c>
      <c r="M195" s="195">
        <v>90</v>
      </c>
      <c r="N195" s="195">
        <v>65</v>
      </c>
      <c r="O195" s="195">
        <v>0</v>
      </c>
      <c r="P195" s="195">
        <v>0</v>
      </c>
      <c r="Q195">
        <v>0</v>
      </c>
      <c r="R195">
        <v>1020</v>
      </c>
      <c r="S195">
        <v>0</v>
      </c>
      <c r="T195">
        <v>4559</v>
      </c>
      <c r="U195">
        <v>3029</v>
      </c>
      <c r="V195">
        <v>200</v>
      </c>
      <c r="W195">
        <v>786</v>
      </c>
      <c r="X195">
        <v>769</v>
      </c>
      <c r="Y195">
        <v>20</v>
      </c>
      <c r="Z195" s="195">
        <v>95911000</v>
      </c>
      <c r="AA195" s="195">
        <v>98366000</v>
      </c>
      <c r="AD195" s="139" t="s">
        <v>265</v>
      </c>
    </row>
    <row r="196" spans="1:30" x14ac:dyDescent="0.2">
      <c r="A196" t="s">
        <v>691</v>
      </c>
      <c r="B196" s="194"/>
      <c r="C196" s="139" t="s">
        <v>392</v>
      </c>
      <c r="D196" s="194">
        <v>15774696.825151961</v>
      </c>
      <c r="E196" s="194">
        <v>1613256</v>
      </c>
      <c r="F196" s="195">
        <v>7864604</v>
      </c>
      <c r="G196" s="195">
        <v>220415.3</v>
      </c>
      <c r="H196" s="195">
        <v>3162299</v>
      </c>
      <c r="I196" s="195">
        <v>1909942.0330774682</v>
      </c>
      <c r="J196" s="195">
        <v>766</v>
      </c>
      <c r="K196" s="195">
        <v>3317</v>
      </c>
      <c r="L196" s="195">
        <v>90</v>
      </c>
      <c r="M196" s="195">
        <v>97</v>
      </c>
      <c r="N196" s="195">
        <v>0</v>
      </c>
      <c r="O196" s="195">
        <v>7</v>
      </c>
      <c r="P196" s="195">
        <v>0</v>
      </c>
      <c r="Q196">
        <v>0</v>
      </c>
      <c r="R196">
        <v>2042</v>
      </c>
      <c r="S196">
        <v>3</v>
      </c>
      <c r="T196">
        <v>2927</v>
      </c>
      <c r="U196">
        <v>2897</v>
      </c>
      <c r="V196">
        <v>0</v>
      </c>
      <c r="W196">
        <v>823</v>
      </c>
      <c r="X196">
        <v>420</v>
      </c>
      <c r="Y196">
        <v>13</v>
      </c>
      <c r="Z196" s="195">
        <v>45846000</v>
      </c>
      <c r="AA196" s="195">
        <v>47848000</v>
      </c>
      <c r="AD196" s="139" t="s">
        <v>392</v>
      </c>
    </row>
    <row r="197" spans="1:30" x14ac:dyDescent="0.2">
      <c r="A197" t="s">
        <v>693</v>
      </c>
      <c r="B197" s="194"/>
      <c r="C197" s="139" t="s">
        <v>207</v>
      </c>
      <c r="D197" s="194">
        <v>9709096.9183907323</v>
      </c>
      <c r="E197" s="194">
        <v>667439</v>
      </c>
      <c r="F197" s="195">
        <v>4025239</v>
      </c>
      <c r="G197" s="195">
        <v>267215.3</v>
      </c>
      <c r="H197" s="195">
        <v>1931315</v>
      </c>
      <c r="I197" s="195">
        <v>1032729.6707418883</v>
      </c>
      <c r="J197" s="195">
        <v>204</v>
      </c>
      <c r="K197" s="195">
        <v>1435</v>
      </c>
      <c r="L197" s="195">
        <v>0</v>
      </c>
      <c r="M197" s="195">
        <v>0</v>
      </c>
      <c r="N197" s="195">
        <v>0</v>
      </c>
      <c r="O197" s="195">
        <v>0</v>
      </c>
      <c r="P197" s="195">
        <v>17</v>
      </c>
      <c r="Q197">
        <v>0</v>
      </c>
      <c r="R197">
        <v>0</v>
      </c>
      <c r="S197">
        <v>0</v>
      </c>
      <c r="T197">
        <v>800</v>
      </c>
      <c r="U197">
        <v>693</v>
      </c>
      <c r="V197">
        <v>3</v>
      </c>
      <c r="W197">
        <v>230</v>
      </c>
      <c r="X197">
        <v>125</v>
      </c>
      <c r="Y197">
        <v>0</v>
      </c>
      <c r="Z197" s="195">
        <v>21538000</v>
      </c>
      <c r="AA197" s="195">
        <v>21868000</v>
      </c>
      <c r="AD197" s="139" t="s">
        <v>207</v>
      </c>
    </row>
    <row r="198" spans="1:30" x14ac:dyDescent="0.2">
      <c r="A198" t="s">
        <v>692</v>
      </c>
      <c r="B198" s="194"/>
      <c r="C198" s="139" t="s">
        <v>266</v>
      </c>
      <c r="D198" s="194">
        <v>25018242.262837</v>
      </c>
      <c r="E198" s="194">
        <v>2647299</v>
      </c>
      <c r="F198" s="195">
        <v>13560150</v>
      </c>
      <c r="G198" s="195">
        <v>486166.92</v>
      </c>
      <c r="H198" s="195">
        <v>5649130</v>
      </c>
      <c r="I198" s="195">
        <v>3224638.9330245075</v>
      </c>
      <c r="J198" s="195">
        <v>583</v>
      </c>
      <c r="K198" s="195">
        <v>4466</v>
      </c>
      <c r="L198" s="195">
        <v>0</v>
      </c>
      <c r="M198" s="195">
        <v>416</v>
      </c>
      <c r="N198" s="195">
        <v>0</v>
      </c>
      <c r="O198" s="195">
        <v>0</v>
      </c>
      <c r="P198" s="195">
        <v>159</v>
      </c>
      <c r="Q198">
        <v>18</v>
      </c>
      <c r="R198">
        <v>0</v>
      </c>
      <c r="S198">
        <v>0</v>
      </c>
      <c r="T198">
        <v>4846</v>
      </c>
      <c r="U198">
        <v>3342</v>
      </c>
      <c r="V198">
        <v>324</v>
      </c>
      <c r="W198">
        <v>685</v>
      </c>
      <c r="X198">
        <v>499</v>
      </c>
      <c r="Y198">
        <v>56</v>
      </c>
      <c r="Z198" s="195">
        <v>68292000</v>
      </c>
      <c r="AA198" s="195">
        <v>69907000</v>
      </c>
      <c r="AD198" s="139" t="s">
        <v>266</v>
      </c>
    </row>
    <row r="199" spans="1:30" x14ac:dyDescent="0.2">
      <c r="A199" t="s">
        <v>690</v>
      </c>
      <c r="B199" s="194"/>
      <c r="C199" s="139" t="s">
        <v>469</v>
      </c>
      <c r="D199" s="194">
        <v>15242868.6648308</v>
      </c>
      <c r="E199" s="194">
        <v>1823360</v>
      </c>
      <c r="F199" s="195">
        <v>10552560</v>
      </c>
      <c r="G199" s="195">
        <v>261977.9</v>
      </c>
      <c r="H199" s="195">
        <v>3661362</v>
      </c>
      <c r="I199" s="195">
        <v>3294622.9500423488</v>
      </c>
      <c r="J199" s="195">
        <v>697</v>
      </c>
      <c r="K199" s="195">
        <v>4192</v>
      </c>
      <c r="L199" s="195">
        <v>121</v>
      </c>
      <c r="M199" s="195">
        <v>930</v>
      </c>
      <c r="N199" s="195">
        <v>106</v>
      </c>
      <c r="O199" s="195">
        <v>0</v>
      </c>
      <c r="P199" s="195">
        <v>0</v>
      </c>
      <c r="Q199">
        <v>0</v>
      </c>
      <c r="R199">
        <v>0</v>
      </c>
      <c r="S199">
        <v>0</v>
      </c>
      <c r="T199">
        <v>2529</v>
      </c>
      <c r="U199">
        <v>2035</v>
      </c>
      <c r="V199">
        <v>0</v>
      </c>
      <c r="W199">
        <v>250</v>
      </c>
      <c r="X199">
        <v>346</v>
      </c>
      <c r="Y199">
        <v>19</v>
      </c>
      <c r="Z199" s="195">
        <v>48527000</v>
      </c>
      <c r="AA199" s="195">
        <v>48720000</v>
      </c>
      <c r="AD199" s="139" t="s">
        <v>469</v>
      </c>
    </row>
    <row r="200" spans="1:30" x14ac:dyDescent="0.2">
      <c r="A200" t="s">
        <v>692</v>
      </c>
      <c r="B200" s="194"/>
      <c r="C200" s="139" t="s">
        <v>304</v>
      </c>
      <c r="D200" s="194">
        <v>10237038.530039063</v>
      </c>
      <c r="E200" s="194">
        <v>687128</v>
      </c>
      <c r="F200" s="195">
        <v>4595169</v>
      </c>
      <c r="G200" s="195">
        <v>262200.24</v>
      </c>
      <c r="H200" s="195">
        <v>1631724</v>
      </c>
      <c r="I200" s="195">
        <v>840086.58401640772</v>
      </c>
      <c r="J200" s="195">
        <v>284</v>
      </c>
      <c r="K200" s="195">
        <v>2342</v>
      </c>
      <c r="L200" s="195">
        <v>59</v>
      </c>
      <c r="M200" s="195">
        <v>28</v>
      </c>
      <c r="N200" s="195">
        <v>0</v>
      </c>
      <c r="O200" s="195">
        <v>0</v>
      </c>
      <c r="P200" s="195">
        <v>0</v>
      </c>
      <c r="Q200">
        <v>0</v>
      </c>
      <c r="R200">
        <v>17</v>
      </c>
      <c r="S200">
        <v>0</v>
      </c>
      <c r="T200">
        <v>1069</v>
      </c>
      <c r="U200">
        <v>950</v>
      </c>
      <c r="V200">
        <v>96</v>
      </c>
      <c r="W200">
        <v>450</v>
      </c>
      <c r="X200">
        <v>248</v>
      </c>
      <c r="Y200">
        <v>0</v>
      </c>
      <c r="Z200" s="195">
        <v>25126000</v>
      </c>
      <c r="AA200" s="195">
        <v>24586000</v>
      </c>
      <c r="AD200" s="139" t="s">
        <v>304</v>
      </c>
    </row>
    <row r="201" spans="1:30" x14ac:dyDescent="0.2">
      <c r="A201" t="s">
        <v>698</v>
      </c>
      <c r="B201" s="194"/>
      <c r="C201" s="139" t="s">
        <v>185</v>
      </c>
      <c r="D201" s="194">
        <v>9290214.519104911</v>
      </c>
      <c r="E201" s="194">
        <v>854441</v>
      </c>
      <c r="F201" s="195">
        <v>5817212</v>
      </c>
      <c r="G201" s="195">
        <v>376171.52000000002</v>
      </c>
      <c r="H201" s="195">
        <v>3056516</v>
      </c>
      <c r="I201" s="195">
        <v>1773760.4002263094</v>
      </c>
      <c r="J201" s="195">
        <v>212</v>
      </c>
      <c r="K201" s="195">
        <v>1484</v>
      </c>
      <c r="L201" s="195">
        <v>91</v>
      </c>
      <c r="M201" s="195">
        <v>0</v>
      </c>
      <c r="N201" s="195">
        <v>0</v>
      </c>
      <c r="O201" s="195">
        <v>0</v>
      </c>
      <c r="P201" s="195">
        <v>12</v>
      </c>
      <c r="Q201">
        <v>0</v>
      </c>
      <c r="R201">
        <v>0</v>
      </c>
      <c r="S201">
        <v>0</v>
      </c>
      <c r="T201">
        <v>1445</v>
      </c>
      <c r="U201">
        <v>1090</v>
      </c>
      <c r="V201">
        <v>103</v>
      </c>
      <c r="W201">
        <v>318</v>
      </c>
      <c r="X201">
        <v>166</v>
      </c>
      <c r="Y201">
        <v>6</v>
      </c>
      <c r="Z201" s="195">
        <v>28374000</v>
      </c>
      <c r="AA201" s="195">
        <v>28663000</v>
      </c>
      <c r="AD201" s="139" t="s">
        <v>185</v>
      </c>
    </row>
    <row r="202" spans="1:30" x14ac:dyDescent="0.2">
      <c r="A202" t="s">
        <v>695</v>
      </c>
      <c r="B202" s="194"/>
      <c r="C202" s="139" t="s">
        <v>228</v>
      </c>
      <c r="D202" s="194">
        <v>16688908.352770351</v>
      </c>
      <c r="E202" s="194">
        <v>1875997</v>
      </c>
      <c r="F202" s="195">
        <v>11515078</v>
      </c>
      <c r="G202" s="195">
        <v>405409.45999999996</v>
      </c>
      <c r="H202" s="195">
        <v>5010607</v>
      </c>
      <c r="I202" s="195">
        <v>4348315.5036204364</v>
      </c>
      <c r="J202" s="195">
        <v>490</v>
      </c>
      <c r="K202" s="195">
        <v>3950</v>
      </c>
      <c r="L202" s="195">
        <v>201</v>
      </c>
      <c r="M202" s="195">
        <v>200</v>
      </c>
      <c r="N202" s="195">
        <v>0</v>
      </c>
      <c r="O202" s="195">
        <v>0</v>
      </c>
      <c r="P202" s="195">
        <v>20</v>
      </c>
      <c r="Q202">
        <v>0</v>
      </c>
      <c r="R202">
        <v>0</v>
      </c>
      <c r="S202">
        <v>0</v>
      </c>
      <c r="T202">
        <v>2301</v>
      </c>
      <c r="U202">
        <v>1750</v>
      </c>
      <c r="V202">
        <v>1</v>
      </c>
      <c r="W202">
        <v>476</v>
      </c>
      <c r="X202">
        <v>354</v>
      </c>
      <c r="Y202">
        <v>18</v>
      </c>
      <c r="AD202" s="139" t="s">
        <v>228</v>
      </c>
    </row>
    <row r="203" spans="1:30" x14ac:dyDescent="0.2">
      <c r="A203" t="s">
        <v>692</v>
      </c>
      <c r="B203" s="194"/>
      <c r="C203" s="139" t="s">
        <v>267</v>
      </c>
      <c r="D203" s="194">
        <v>16135857.425036415</v>
      </c>
      <c r="E203" s="194">
        <v>1448241</v>
      </c>
      <c r="F203" s="195">
        <v>8713546</v>
      </c>
      <c r="G203" s="195">
        <v>291616.09999999998</v>
      </c>
      <c r="H203" s="195">
        <v>3234093</v>
      </c>
      <c r="I203" s="195">
        <v>2499547.8541060113</v>
      </c>
      <c r="J203" s="195">
        <v>568</v>
      </c>
      <c r="K203" s="195">
        <v>3819</v>
      </c>
      <c r="L203" s="195">
        <v>150</v>
      </c>
      <c r="M203" s="195">
        <v>93</v>
      </c>
      <c r="N203" s="195">
        <v>0</v>
      </c>
      <c r="O203" s="195">
        <v>13</v>
      </c>
      <c r="P203" s="195">
        <v>0</v>
      </c>
      <c r="Q203">
        <v>0</v>
      </c>
      <c r="R203">
        <v>1871</v>
      </c>
      <c r="S203">
        <v>0</v>
      </c>
      <c r="T203">
        <v>2777</v>
      </c>
      <c r="U203">
        <v>0</v>
      </c>
      <c r="V203">
        <v>63</v>
      </c>
      <c r="W203">
        <v>489</v>
      </c>
      <c r="X203">
        <v>392</v>
      </c>
      <c r="Y203">
        <v>57</v>
      </c>
      <c r="Z203" s="195">
        <v>46533000</v>
      </c>
      <c r="AA203" s="195">
        <v>45555000</v>
      </c>
      <c r="AD203" s="139" t="s">
        <v>267</v>
      </c>
    </row>
    <row r="204" spans="1:30" x14ac:dyDescent="0.2">
      <c r="A204" t="s">
        <v>699</v>
      </c>
      <c r="B204" s="194"/>
      <c r="C204" s="139" t="s">
        <v>509</v>
      </c>
      <c r="D204" s="194">
        <v>16546193.668887805</v>
      </c>
      <c r="E204" s="194">
        <v>2231586</v>
      </c>
      <c r="F204" s="195">
        <v>10357094</v>
      </c>
      <c r="G204" s="195">
        <v>685193.34</v>
      </c>
      <c r="H204" s="195">
        <v>3835227</v>
      </c>
      <c r="I204" s="195">
        <v>2925836.685041897</v>
      </c>
      <c r="J204" s="195">
        <v>722</v>
      </c>
      <c r="K204" s="195">
        <v>3346</v>
      </c>
      <c r="L204" s="195">
        <v>134</v>
      </c>
      <c r="M204" s="195">
        <v>207</v>
      </c>
      <c r="N204" s="195">
        <v>0</v>
      </c>
      <c r="O204" s="195">
        <v>0</v>
      </c>
      <c r="P204" s="195">
        <v>153</v>
      </c>
      <c r="Q204">
        <v>75</v>
      </c>
      <c r="R204">
        <v>0</v>
      </c>
      <c r="S204">
        <v>0</v>
      </c>
      <c r="T204">
        <v>2443</v>
      </c>
      <c r="U204">
        <v>1820</v>
      </c>
      <c r="V204">
        <v>83</v>
      </c>
      <c r="W204">
        <v>250</v>
      </c>
      <c r="X204">
        <v>399</v>
      </c>
      <c r="Y204">
        <v>15</v>
      </c>
      <c r="Z204" s="195">
        <v>50263000</v>
      </c>
      <c r="AA204" s="195">
        <v>53188000</v>
      </c>
      <c r="AD204" s="139" t="s">
        <v>509</v>
      </c>
    </row>
    <row r="205" spans="1:30" x14ac:dyDescent="0.2">
      <c r="A205" t="s">
        <v>694</v>
      </c>
      <c r="B205" s="194"/>
      <c r="C205" s="139" t="s">
        <v>393</v>
      </c>
      <c r="D205" s="194">
        <v>27556169.51128111</v>
      </c>
      <c r="E205" s="194">
        <v>2576674</v>
      </c>
      <c r="F205" s="195">
        <v>15644805</v>
      </c>
      <c r="G205" s="195">
        <v>461636.54000000004</v>
      </c>
      <c r="H205" s="195">
        <v>11379037</v>
      </c>
      <c r="I205" s="195">
        <v>5768908.1596086724</v>
      </c>
      <c r="J205" s="195">
        <v>564</v>
      </c>
      <c r="K205" s="195">
        <v>4807</v>
      </c>
      <c r="L205" s="195">
        <v>135</v>
      </c>
      <c r="M205" s="195">
        <v>0</v>
      </c>
      <c r="N205" s="195">
        <v>0</v>
      </c>
      <c r="O205" s="195">
        <v>0</v>
      </c>
      <c r="P205" s="195">
        <v>0</v>
      </c>
      <c r="Q205">
        <v>0</v>
      </c>
      <c r="R205">
        <v>324</v>
      </c>
      <c r="S205">
        <v>0</v>
      </c>
      <c r="T205">
        <v>2623</v>
      </c>
      <c r="U205">
        <v>3924</v>
      </c>
      <c r="V205">
        <v>370</v>
      </c>
      <c r="W205">
        <v>255</v>
      </c>
      <c r="X205">
        <v>416</v>
      </c>
      <c r="Y205">
        <v>46</v>
      </c>
      <c r="Z205" s="195">
        <v>90154000</v>
      </c>
      <c r="AA205" s="195">
        <v>91206000</v>
      </c>
      <c r="AD205" s="139" t="s">
        <v>393</v>
      </c>
    </row>
    <row r="206" spans="1:30" x14ac:dyDescent="0.2">
      <c r="A206" t="s">
        <v>699</v>
      </c>
      <c r="B206" s="194"/>
      <c r="C206" s="139" t="s">
        <v>510</v>
      </c>
      <c r="D206" s="194">
        <v>115348873.10102811</v>
      </c>
      <c r="E206" s="194">
        <v>10865688</v>
      </c>
      <c r="F206" s="195">
        <v>96224169</v>
      </c>
      <c r="G206" s="195">
        <v>13586989.66</v>
      </c>
      <c r="H206" s="195">
        <v>63900538</v>
      </c>
      <c r="I206" s="195">
        <v>27902205.959155593</v>
      </c>
      <c r="J206" s="195">
        <v>6689</v>
      </c>
      <c r="K206" s="195">
        <v>22909</v>
      </c>
      <c r="L206" s="195">
        <v>725</v>
      </c>
      <c r="M206" s="195">
        <v>3177</v>
      </c>
      <c r="N206" s="195">
        <v>939</v>
      </c>
      <c r="O206" s="195">
        <v>0</v>
      </c>
      <c r="P206" s="195">
        <v>0</v>
      </c>
      <c r="Q206">
        <v>9885</v>
      </c>
      <c r="R206">
        <v>913</v>
      </c>
      <c r="S206">
        <v>0</v>
      </c>
      <c r="T206">
        <v>12898</v>
      </c>
      <c r="U206">
        <v>15905</v>
      </c>
      <c r="V206">
        <v>583</v>
      </c>
      <c r="W206">
        <v>3398</v>
      </c>
      <c r="X206">
        <v>2086</v>
      </c>
      <c r="Y206">
        <v>418</v>
      </c>
      <c r="Z206" s="195">
        <v>523433992</v>
      </c>
      <c r="AA206" s="195">
        <v>540847000</v>
      </c>
      <c r="AD206" s="139" t="s">
        <v>510</v>
      </c>
    </row>
    <row r="207" spans="1:30" x14ac:dyDescent="0.2">
      <c r="A207" t="s">
        <v>698</v>
      </c>
      <c r="B207" s="194"/>
      <c r="C207" s="139" t="s">
        <v>186</v>
      </c>
      <c r="D207" s="194">
        <v>7993833.9632073734</v>
      </c>
      <c r="E207" s="194">
        <v>655293</v>
      </c>
      <c r="F207" s="195">
        <v>5142780</v>
      </c>
      <c r="G207" s="195">
        <v>147017.56</v>
      </c>
      <c r="H207" s="195">
        <v>2310802</v>
      </c>
      <c r="I207" s="195">
        <v>1708927.5480156799</v>
      </c>
      <c r="J207" s="195">
        <v>218</v>
      </c>
      <c r="K207" s="195">
        <v>1366</v>
      </c>
      <c r="L207" s="195">
        <v>0</v>
      </c>
      <c r="M207" s="195">
        <v>0</v>
      </c>
      <c r="N207" s="195">
        <v>0</v>
      </c>
      <c r="O207" s="195">
        <v>0</v>
      </c>
      <c r="P207" s="195">
        <v>0</v>
      </c>
      <c r="Q207">
        <v>0</v>
      </c>
      <c r="R207">
        <v>0</v>
      </c>
      <c r="S207">
        <v>0</v>
      </c>
      <c r="T207">
        <v>1205</v>
      </c>
      <c r="U207">
        <v>1150</v>
      </c>
      <c r="V207">
        <v>78</v>
      </c>
      <c r="W207">
        <v>82</v>
      </c>
      <c r="X207">
        <v>177</v>
      </c>
      <c r="Y207">
        <v>0</v>
      </c>
      <c r="Z207" s="195">
        <v>24081000</v>
      </c>
      <c r="AA207" s="195">
        <v>24391000</v>
      </c>
      <c r="AD207" s="139" t="s">
        <v>186</v>
      </c>
    </row>
    <row r="208" spans="1:30" x14ac:dyDescent="0.2">
      <c r="A208" t="s">
        <v>691</v>
      </c>
      <c r="B208" s="194"/>
      <c r="C208" s="139" t="s">
        <v>347</v>
      </c>
      <c r="D208" s="194">
        <v>31929564.521358334</v>
      </c>
      <c r="E208" s="194">
        <v>2782801</v>
      </c>
      <c r="F208" s="195">
        <v>16806094</v>
      </c>
      <c r="G208" s="195">
        <v>712234.06</v>
      </c>
      <c r="H208" s="195">
        <v>7184223</v>
      </c>
      <c r="I208" s="195">
        <v>2792927.3669454455</v>
      </c>
      <c r="J208" s="195">
        <v>905</v>
      </c>
      <c r="K208" s="195">
        <v>4989</v>
      </c>
      <c r="L208" s="195">
        <v>180</v>
      </c>
      <c r="M208" s="195">
        <v>444</v>
      </c>
      <c r="N208" s="195">
        <v>0</v>
      </c>
      <c r="O208" s="195">
        <v>9</v>
      </c>
      <c r="P208" s="195">
        <v>140</v>
      </c>
      <c r="Q208">
        <v>0</v>
      </c>
      <c r="R208">
        <v>0</v>
      </c>
      <c r="S208">
        <v>0</v>
      </c>
      <c r="T208">
        <v>3543</v>
      </c>
      <c r="U208">
        <v>6125</v>
      </c>
      <c r="V208">
        <v>247</v>
      </c>
      <c r="W208">
        <v>685</v>
      </c>
      <c r="X208">
        <v>724</v>
      </c>
      <c r="Y208">
        <v>19</v>
      </c>
      <c r="Z208" s="195">
        <v>83011000</v>
      </c>
      <c r="AA208" s="195">
        <v>86599000</v>
      </c>
      <c r="AD208" s="139" t="s">
        <v>347</v>
      </c>
    </row>
    <row r="209" spans="1:30" x14ac:dyDescent="0.2">
      <c r="A209" t="s">
        <v>699</v>
      </c>
      <c r="B209" s="194"/>
      <c r="C209" s="139" t="s">
        <v>511</v>
      </c>
      <c r="D209" s="194">
        <v>13321577.193187263</v>
      </c>
      <c r="E209" s="194">
        <v>1560296</v>
      </c>
      <c r="F209" s="195">
        <v>8036204</v>
      </c>
      <c r="G209" s="195">
        <v>220729.91999999998</v>
      </c>
      <c r="H209" s="195">
        <v>2980939</v>
      </c>
      <c r="I209" s="195">
        <v>2377798.6223427593</v>
      </c>
      <c r="J209" s="195">
        <v>346</v>
      </c>
      <c r="K209" s="195">
        <v>4052</v>
      </c>
      <c r="L209" s="195">
        <v>130</v>
      </c>
      <c r="M209" s="195">
        <v>33</v>
      </c>
      <c r="N209" s="195">
        <v>49</v>
      </c>
      <c r="O209" s="195">
        <v>0</v>
      </c>
      <c r="P209" s="195">
        <v>0</v>
      </c>
      <c r="Q209">
        <v>209</v>
      </c>
      <c r="R209">
        <v>0</v>
      </c>
      <c r="S209">
        <v>0</v>
      </c>
      <c r="T209">
        <v>2585</v>
      </c>
      <c r="U209">
        <v>1783</v>
      </c>
      <c r="V209">
        <v>159</v>
      </c>
      <c r="W209">
        <v>176</v>
      </c>
      <c r="X209">
        <v>330</v>
      </c>
      <c r="Y209">
        <v>0</v>
      </c>
      <c r="Z209" s="195">
        <v>41546000</v>
      </c>
      <c r="AA209" s="195">
        <v>42243000</v>
      </c>
      <c r="AD209" s="139" t="s">
        <v>511</v>
      </c>
    </row>
    <row r="210" spans="1:30" x14ac:dyDescent="0.2">
      <c r="A210" t="s">
        <v>693</v>
      </c>
      <c r="B210" s="194"/>
      <c r="C210" s="139" t="s">
        <v>208</v>
      </c>
      <c r="D210" s="194">
        <v>11175374.077885877</v>
      </c>
      <c r="E210" s="194">
        <v>911701</v>
      </c>
      <c r="F210" s="195">
        <v>5284111</v>
      </c>
      <c r="G210" s="195">
        <v>223864.5</v>
      </c>
      <c r="H210" s="195">
        <v>2912428</v>
      </c>
      <c r="I210" s="195">
        <v>1411262.2419287255</v>
      </c>
      <c r="J210" s="195">
        <v>160</v>
      </c>
      <c r="K210" s="195">
        <v>1685</v>
      </c>
      <c r="L210" s="195">
        <v>0</v>
      </c>
      <c r="M210" s="195">
        <v>0</v>
      </c>
      <c r="N210" s="195">
        <v>0</v>
      </c>
      <c r="O210" s="195">
        <v>0</v>
      </c>
      <c r="P210" s="195">
        <v>1</v>
      </c>
      <c r="Q210">
        <v>0</v>
      </c>
      <c r="R210">
        <v>0</v>
      </c>
      <c r="S210">
        <v>0</v>
      </c>
      <c r="T210">
        <v>1467</v>
      </c>
      <c r="U210">
        <v>1346</v>
      </c>
      <c r="V210">
        <v>0</v>
      </c>
      <c r="W210">
        <v>100</v>
      </c>
      <c r="X210">
        <v>226</v>
      </c>
      <c r="Y210">
        <v>0</v>
      </c>
      <c r="Z210" s="195">
        <v>26005000</v>
      </c>
      <c r="AA210" s="195">
        <v>26302000</v>
      </c>
      <c r="AD210" s="139" t="s">
        <v>208</v>
      </c>
    </row>
    <row r="211" spans="1:30" x14ac:dyDescent="0.2">
      <c r="A211" t="s">
        <v>690</v>
      </c>
      <c r="C211" s="139" t="s">
        <v>876</v>
      </c>
      <c r="D211">
        <v>59178356.463081419</v>
      </c>
      <c r="E211" s="194">
        <v>5354882</v>
      </c>
      <c r="F211">
        <v>40844174</v>
      </c>
      <c r="G211" s="195">
        <v>1070343.1000000001</v>
      </c>
      <c r="H211">
        <v>11531268</v>
      </c>
      <c r="I211" s="195">
        <v>15869378.249022007</v>
      </c>
      <c r="J211">
        <v>2949</v>
      </c>
      <c r="K211">
        <v>14073</v>
      </c>
      <c r="L211">
        <v>252</v>
      </c>
      <c r="M211">
        <v>555</v>
      </c>
      <c r="N211">
        <v>254</v>
      </c>
      <c r="O211">
        <v>22</v>
      </c>
      <c r="P211">
        <v>0</v>
      </c>
      <c r="Q211">
        <v>302</v>
      </c>
      <c r="R211">
        <v>270</v>
      </c>
      <c r="S211">
        <v>0</v>
      </c>
      <c r="T211">
        <v>7409</v>
      </c>
      <c r="U211">
        <v>7931</v>
      </c>
      <c r="V211">
        <v>105</v>
      </c>
      <c r="W211">
        <v>2136</v>
      </c>
      <c r="X211">
        <v>1485</v>
      </c>
      <c r="Y211">
        <v>58</v>
      </c>
      <c r="Z211" s="195">
        <v>195762000</v>
      </c>
      <c r="AA211" s="195">
        <v>194554000</v>
      </c>
      <c r="AD211" s="139" t="s">
        <v>876</v>
      </c>
    </row>
    <row r="212" spans="1:30" x14ac:dyDescent="0.2">
      <c r="A212" t="s">
        <v>698</v>
      </c>
      <c r="B212" s="194"/>
      <c r="C212" s="139" t="s">
        <v>187</v>
      </c>
      <c r="D212" s="194">
        <v>10740741.352710184</v>
      </c>
      <c r="E212" s="194">
        <v>1025439</v>
      </c>
      <c r="F212" s="195">
        <v>8959033</v>
      </c>
      <c r="G212" s="195">
        <v>352959.6</v>
      </c>
      <c r="H212" s="195">
        <v>4157019</v>
      </c>
      <c r="I212" s="195">
        <v>3789125.2163605229</v>
      </c>
      <c r="J212" s="195">
        <v>505</v>
      </c>
      <c r="K212" s="195">
        <v>2120</v>
      </c>
      <c r="L212" s="195">
        <v>56</v>
      </c>
      <c r="M212" s="195">
        <v>34</v>
      </c>
      <c r="N212" s="195">
        <v>0</v>
      </c>
      <c r="O212" s="195">
        <v>0</v>
      </c>
      <c r="P212" s="195">
        <v>0</v>
      </c>
      <c r="Q212">
        <v>0</v>
      </c>
      <c r="R212">
        <v>0</v>
      </c>
      <c r="S212">
        <v>0</v>
      </c>
      <c r="T212">
        <v>1312</v>
      </c>
      <c r="U212">
        <v>1513</v>
      </c>
      <c r="V212">
        <v>70</v>
      </c>
      <c r="W212">
        <v>90</v>
      </c>
      <c r="X212">
        <v>180</v>
      </c>
      <c r="Y212">
        <v>1</v>
      </c>
      <c r="Z212" s="195">
        <v>35686000</v>
      </c>
      <c r="AA212" s="195">
        <v>36627000</v>
      </c>
      <c r="AD212" s="139" t="s">
        <v>187</v>
      </c>
    </row>
    <row r="213" spans="1:30" x14ac:dyDescent="0.2">
      <c r="A213" t="s">
        <v>689</v>
      </c>
      <c r="B213" s="194"/>
      <c r="C213" s="139" t="s">
        <v>167</v>
      </c>
      <c r="D213" s="194">
        <v>28240338.067399234</v>
      </c>
      <c r="E213" s="194">
        <v>2553352</v>
      </c>
      <c r="F213" s="195">
        <v>19942975</v>
      </c>
      <c r="G213" s="195">
        <v>591583.66</v>
      </c>
      <c r="H213" s="195">
        <v>10160145</v>
      </c>
      <c r="I213" s="195">
        <v>8135167.8207056848</v>
      </c>
      <c r="J213" s="195">
        <v>1465</v>
      </c>
      <c r="K213" s="195">
        <v>5888</v>
      </c>
      <c r="L213" s="195">
        <v>0</v>
      </c>
      <c r="M213" s="195">
        <v>0</v>
      </c>
      <c r="N213" s="195">
        <v>0</v>
      </c>
      <c r="O213" s="195">
        <v>0</v>
      </c>
      <c r="P213" s="195">
        <v>0</v>
      </c>
      <c r="Q213">
        <v>1865</v>
      </c>
      <c r="R213">
        <v>40</v>
      </c>
      <c r="S213">
        <v>0</v>
      </c>
      <c r="T213">
        <v>2664</v>
      </c>
      <c r="U213">
        <v>2788</v>
      </c>
      <c r="V213">
        <v>297</v>
      </c>
      <c r="W213">
        <v>670</v>
      </c>
      <c r="X213">
        <v>513</v>
      </c>
      <c r="Y213">
        <v>40</v>
      </c>
      <c r="AD213" s="139" t="s">
        <v>167</v>
      </c>
    </row>
    <row r="214" spans="1:30" x14ac:dyDescent="0.2">
      <c r="A214" t="s">
        <v>701</v>
      </c>
      <c r="B214" s="194"/>
      <c r="C214" s="139" t="s">
        <v>425</v>
      </c>
      <c r="D214" s="194">
        <v>45564383.973065138</v>
      </c>
      <c r="E214" s="194">
        <v>3904796</v>
      </c>
      <c r="F214" s="195">
        <v>25223384</v>
      </c>
      <c r="G214" s="195">
        <v>1093404.82</v>
      </c>
      <c r="H214" s="195">
        <v>17119564</v>
      </c>
      <c r="I214" s="195">
        <v>7913286.1753907939</v>
      </c>
      <c r="J214" s="195">
        <v>1900</v>
      </c>
      <c r="K214" s="195">
        <v>7272</v>
      </c>
      <c r="L214" s="195">
        <v>206</v>
      </c>
      <c r="M214" s="195">
        <v>415</v>
      </c>
      <c r="N214" s="195">
        <v>153</v>
      </c>
      <c r="O214" s="195">
        <v>0</v>
      </c>
      <c r="P214" s="195">
        <v>56</v>
      </c>
      <c r="Q214">
        <v>4897</v>
      </c>
      <c r="R214">
        <v>201</v>
      </c>
      <c r="S214">
        <v>0</v>
      </c>
      <c r="T214">
        <v>4620</v>
      </c>
      <c r="U214">
        <v>6196</v>
      </c>
      <c r="V214">
        <v>626</v>
      </c>
      <c r="W214">
        <v>846</v>
      </c>
      <c r="X214">
        <v>952</v>
      </c>
      <c r="Y214">
        <v>66</v>
      </c>
      <c r="AD214" s="139" t="s">
        <v>425</v>
      </c>
    </row>
    <row r="215" spans="1:30" x14ac:dyDescent="0.2">
      <c r="A215" t="s">
        <v>689</v>
      </c>
      <c r="B215" s="194"/>
      <c r="C215" s="139" t="s">
        <v>394</v>
      </c>
      <c r="D215" s="194">
        <v>27302119.199421115</v>
      </c>
      <c r="E215" s="194">
        <v>2567842</v>
      </c>
      <c r="F215" s="195">
        <v>15783381</v>
      </c>
      <c r="G215" s="195">
        <v>608240.98</v>
      </c>
      <c r="H215" s="195">
        <v>1563221</v>
      </c>
      <c r="I215" s="195">
        <v>748543.86638878961</v>
      </c>
      <c r="J215" s="195">
        <v>520</v>
      </c>
      <c r="K215" s="195">
        <v>3485</v>
      </c>
      <c r="L215" s="195">
        <v>0</v>
      </c>
      <c r="M215" s="195">
        <v>0</v>
      </c>
      <c r="N215" s="195">
        <v>0</v>
      </c>
      <c r="O215" s="195">
        <v>0</v>
      </c>
      <c r="P215" s="195">
        <v>0</v>
      </c>
      <c r="Q215">
        <v>0</v>
      </c>
      <c r="R215">
        <v>0</v>
      </c>
      <c r="S215">
        <v>0</v>
      </c>
      <c r="T215">
        <v>2108</v>
      </c>
      <c r="U215">
        <v>2229</v>
      </c>
      <c r="V215">
        <v>99</v>
      </c>
      <c r="W215">
        <v>680</v>
      </c>
      <c r="X215">
        <v>406</v>
      </c>
      <c r="Y215">
        <v>0</v>
      </c>
      <c r="Z215" s="195">
        <v>49093000</v>
      </c>
      <c r="AA215" s="195">
        <v>49090000</v>
      </c>
      <c r="AD215" s="139" t="s">
        <v>394</v>
      </c>
    </row>
    <row r="216" spans="1:30" x14ac:dyDescent="0.2">
      <c r="A216" t="s">
        <v>694</v>
      </c>
      <c r="B216" s="194"/>
      <c r="C216" s="139" t="s">
        <v>168</v>
      </c>
      <c r="D216" s="194">
        <v>11892211.863211889</v>
      </c>
      <c r="E216" s="194">
        <v>840548</v>
      </c>
      <c r="F216" s="195">
        <v>4086379</v>
      </c>
      <c r="G216" s="195">
        <v>151146.74</v>
      </c>
      <c r="H216" s="195">
        <v>6977886</v>
      </c>
      <c r="I216" s="195">
        <v>5126416.9614956249</v>
      </c>
      <c r="J216" s="195">
        <v>1052</v>
      </c>
      <c r="K216" s="195">
        <v>4774</v>
      </c>
      <c r="L216" s="195">
        <v>0</v>
      </c>
      <c r="M216" s="195">
        <v>846</v>
      </c>
      <c r="N216" s="195">
        <v>0</v>
      </c>
      <c r="O216" s="195">
        <v>0</v>
      </c>
      <c r="P216" s="195">
        <v>182</v>
      </c>
      <c r="Q216">
        <v>0</v>
      </c>
      <c r="R216">
        <v>0</v>
      </c>
      <c r="S216">
        <v>0</v>
      </c>
      <c r="T216">
        <v>3852</v>
      </c>
      <c r="U216">
        <v>2825</v>
      </c>
      <c r="V216">
        <v>443</v>
      </c>
      <c r="W216">
        <v>647</v>
      </c>
      <c r="X216">
        <v>538</v>
      </c>
      <c r="Y216">
        <v>29</v>
      </c>
      <c r="Z216" s="195">
        <v>75157000</v>
      </c>
      <c r="AA216" s="195">
        <v>75353000</v>
      </c>
      <c r="AD216" s="139" t="s">
        <v>168</v>
      </c>
    </row>
    <row r="217" spans="1:30" x14ac:dyDescent="0.2">
      <c r="A217" t="s">
        <v>699</v>
      </c>
      <c r="B217" s="194"/>
      <c r="C217" s="139" t="s">
        <v>470</v>
      </c>
      <c r="D217" s="194">
        <v>7665008.8308551386</v>
      </c>
      <c r="E217" s="194">
        <v>829399</v>
      </c>
      <c r="F217" s="195">
        <v>5922373</v>
      </c>
      <c r="G217" s="195">
        <v>268343.65000000002</v>
      </c>
      <c r="H217" s="195">
        <v>1201460</v>
      </c>
      <c r="I217" s="195">
        <v>2606586.3976583672</v>
      </c>
      <c r="J217" s="195">
        <v>395</v>
      </c>
      <c r="K217" s="195">
        <v>2195</v>
      </c>
      <c r="L217" s="195">
        <v>0</v>
      </c>
      <c r="M217" s="195">
        <v>31</v>
      </c>
      <c r="N217" s="195">
        <v>0</v>
      </c>
      <c r="O217" s="195">
        <v>1</v>
      </c>
      <c r="P217" s="195">
        <v>0</v>
      </c>
      <c r="Q217">
        <v>0</v>
      </c>
      <c r="R217">
        <v>0</v>
      </c>
      <c r="S217">
        <v>0</v>
      </c>
      <c r="T217">
        <v>1109</v>
      </c>
      <c r="U217">
        <v>699</v>
      </c>
      <c r="V217">
        <v>0</v>
      </c>
      <c r="W217">
        <v>440</v>
      </c>
      <c r="X217">
        <v>197</v>
      </c>
      <c r="Y217">
        <v>19</v>
      </c>
      <c r="Z217" s="195">
        <v>26689000</v>
      </c>
      <c r="AA217" s="195">
        <v>27403000</v>
      </c>
      <c r="AD217" s="139" t="s">
        <v>470</v>
      </c>
    </row>
    <row r="218" spans="1:30" x14ac:dyDescent="0.2">
      <c r="A218" t="s">
        <v>690</v>
      </c>
      <c r="B218" s="194"/>
      <c r="C218" s="139" t="s">
        <v>471</v>
      </c>
      <c r="D218" s="194">
        <v>25689884.09868256</v>
      </c>
      <c r="E218" s="194">
        <v>2685319</v>
      </c>
      <c r="F218" s="195">
        <v>14171409</v>
      </c>
      <c r="G218" s="195">
        <v>1002441.4</v>
      </c>
      <c r="H218" s="195">
        <v>6208674</v>
      </c>
      <c r="I218" s="195">
        <v>3359857.1381500876</v>
      </c>
      <c r="J218" s="195">
        <v>4727</v>
      </c>
      <c r="K218" s="195">
        <v>9671</v>
      </c>
      <c r="L218" s="195">
        <v>0</v>
      </c>
      <c r="M218" s="195">
        <v>138</v>
      </c>
      <c r="N218" s="195">
        <v>0</v>
      </c>
      <c r="O218" s="195">
        <v>0</v>
      </c>
      <c r="P218" s="195">
        <v>0</v>
      </c>
      <c r="Q218">
        <v>0</v>
      </c>
      <c r="R218">
        <v>0</v>
      </c>
      <c r="S218">
        <v>0</v>
      </c>
      <c r="T218">
        <v>3629</v>
      </c>
      <c r="U218">
        <v>3838</v>
      </c>
      <c r="V218">
        <v>139</v>
      </c>
      <c r="W218">
        <v>1161</v>
      </c>
      <c r="X218">
        <v>620</v>
      </c>
      <c r="Y218">
        <v>45</v>
      </c>
      <c r="Z218" s="195">
        <v>87119000</v>
      </c>
      <c r="AA218" s="195">
        <v>86756000</v>
      </c>
      <c r="AD218" s="139" t="s">
        <v>471</v>
      </c>
    </row>
    <row r="219" spans="1:30" x14ac:dyDescent="0.2">
      <c r="A219" t="s">
        <v>694</v>
      </c>
      <c r="B219" s="194"/>
      <c r="C219" s="139" t="s">
        <v>395</v>
      </c>
      <c r="D219" s="194">
        <v>20295505.396560077</v>
      </c>
      <c r="E219" s="194">
        <v>1402792</v>
      </c>
      <c r="F219" s="195">
        <v>9229407</v>
      </c>
      <c r="G219" s="195">
        <v>569316.52</v>
      </c>
      <c r="H219" s="195">
        <v>2959562</v>
      </c>
      <c r="I219" s="195">
        <v>1204212.2433007814</v>
      </c>
      <c r="J219" s="195">
        <v>836</v>
      </c>
      <c r="K219" s="195">
        <v>4019</v>
      </c>
      <c r="L219" s="195">
        <v>116</v>
      </c>
      <c r="M219" s="195">
        <v>32</v>
      </c>
      <c r="N219" s="195">
        <v>0</v>
      </c>
      <c r="O219" s="195">
        <v>0</v>
      </c>
      <c r="P219" s="195">
        <v>0</v>
      </c>
      <c r="Q219">
        <v>0</v>
      </c>
      <c r="R219">
        <v>1800</v>
      </c>
      <c r="S219">
        <v>1</v>
      </c>
      <c r="T219">
        <v>4007</v>
      </c>
      <c r="U219">
        <v>2007</v>
      </c>
      <c r="V219">
        <v>704</v>
      </c>
      <c r="W219">
        <v>813</v>
      </c>
      <c r="X219">
        <v>510</v>
      </c>
      <c r="Y219">
        <v>20</v>
      </c>
      <c r="Z219" s="195">
        <v>63164000</v>
      </c>
      <c r="AA219" s="195">
        <v>64719000</v>
      </c>
      <c r="AD219" s="139" t="s">
        <v>395</v>
      </c>
    </row>
    <row r="220" spans="1:30" x14ac:dyDescent="0.2">
      <c r="A220" t="s">
        <v>692</v>
      </c>
      <c r="B220" s="194"/>
      <c r="C220" s="139" t="s">
        <v>268</v>
      </c>
      <c r="D220" s="194">
        <v>26568204.959169708</v>
      </c>
      <c r="E220" s="194">
        <v>2962130</v>
      </c>
      <c r="F220" s="195">
        <v>17830097</v>
      </c>
      <c r="G220" s="195">
        <v>468927.96</v>
      </c>
      <c r="H220" s="195">
        <v>7451712</v>
      </c>
      <c r="I220" s="195">
        <v>5942587.7136743804</v>
      </c>
      <c r="J220" s="195">
        <v>772</v>
      </c>
      <c r="K220" s="195">
        <v>5629</v>
      </c>
      <c r="L220" s="195">
        <v>249</v>
      </c>
      <c r="M220" s="195">
        <v>275</v>
      </c>
      <c r="N220" s="195">
        <v>42</v>
      </c>
      <c r="O220" s="195">
        <v>3</v>
      </c>
      <c r="P220" s="195">
        <v>0</v>
      </c>
      <c r="Q220">
        <v>0</v>
      </c>
      <c r="R220">
        <v>0</v>
      </c>
      <c r="S220">
        <v>0</v>
      </c>
      <c r="T220">
        <v>3307</v>
      </c>
      <c r="U220">
        <v>2645</v>
      </c>
      <c r="V220">
        <v>148</v>
      </c>
      <c r="W220">
        <v>972</v>
      </c>
      <c r="X220">
        <v>892</v>
      </c>
      <c r="Y220">
        <v>39</v>
      </c>
      <c r="Z220" s="195">
        <v>78528000</v>
      </c>
      <c r="AA220" s="195">
        <v>76433000</v>
      </c>
      <c r="AD220" s="139" t="s">
        <v>268</v>
      </c>
    </row>
    <row r="221" spans="1:30" x14ac:dyDescent="0.2">
      <c r="A221" t="s">
        <v>697</v>
      </c>
      <c r="B221" s="194"/>
      <c r="C221" s="139" t="s">
        <v>541</v>
      </c>
      <c r="D221" s="194">
        <v>9095802.413130071</v>
      </c>
      <c r="E221" s="194">
        <v>659604</v>
      </c>
      <c r="F221" s="195">
        <v>3504273</v>
      </c>
      <c r="G221" s="195">
        <v>249582.22</v>
      </c>
      <c r="H221" s="195">
        <v>1313913</v>
      </c>
      <c r="I221" s="195">
        <v>561072.47826287209</v>
      </c>
      <c r="J221" s="195">
        <v>416</v>
      </c>
      <c r="K221" s="195">
        <v>2502</v>
      </c>
      <c r="L221" s="195">
        <v>52</v>
      </c>
      <c r="M221" s="195">
        <v>0</v>
      </c>
      <c r="N221" s="195">
        <v>0</v>
      </c>
      <c r="O221" s="195">
        <v>0</v>
      </c>
      <c r="P221" s="195">
        <v>0</v>
      </c>
      <c r="Q221">
        <v>0</v>
      </c>
      <c r="R221">
        <v>0</v>
      </c>
      <c r="S221">
        <v>1</v>
      </c>
      <c r="T221">
        <v>1314</v>
      </c>
      <c r="U221">
        <v>1116</v>
      </c>
      <c r="V221">
        <v>77</v>
      </c>
      <c r="W221">
        <v>185</v>
      </c>
      <c r="X221">
        <v>249</v>
      </c>
      <c r="Y221">
        <v>6</v>
      </c>
      <c r="AD221" s="139" t="s">
        <v>541</v>
      </c>
    </row>
    <row r="222" spans="1:30" x14ac:dyDescent="0.2">
      <c r="A222" t="s">
        <v>699</v>
      </c>
      <c r="B222" s="194"/>
      <c r="C222" s="139" t="s">
        <v>512</v>
      </c>
      <c r="D222" s="194">
        <v>5243974.9489737526</v>
      </c>
      <c r="E222" s="194">
        <v>534035</v>
      </c>
      <c r="F222" s="195">
        <v>2757222</v>
      </c>
      <c r="G222" s="195">
        <v>112528.1</v>
      </c>
      <c r="H222" s="195">
        <v>1407628</v>
      </c>
      <c r="I222" s="195">
        <v>861118.93981653068</v>
      </c>
      <c r="J222" s="195">
        <v>138</v>
      </c>
      <c r="K222" s="195">
        <v>1431</v>
      </c>
      <c r="L222" s="195">
        <v>42</v>
      </c>
      <c r="M222" s="195">
        <v>76</v>
      </c>
      <c r="N222" s="195">
        <v>0</v>
      </c>
      <c r="O222" s="195">
        <v>17</v>
      </c>
      <c r="P222" s="195">
        <v>27</v>
      </c>
      <c r="Q222">
        <v>0</v>
      </c>
      <c r="R222">
        <v>0</v>
      </c>
      <c r="S222">
        <v>0</v>
      </c>
      <c r="T222">
        <v>865</v>
      </c>
      <c r="U222">
        <v>748</v>
      </c>
      <c r="V222">
        <v>0</v>
      </c>
      <c r="W222">
        <v>100</v>
      </c>
      <c r="X222">
        <v>136</v>
      </c>
      <c r="Y222">
        <v>0</v>
      </c>
      <c r="Z222" s="195">
        <v>15384000</v>
      </c>
      <c r="AA222" s="195">
        <v>15760000</v>
      </c>
      <c r="AD222" s="139" t="s">
        <v>512</v>
      </c>
    </row>
    <row r="223" spans="1:30" x14ac:dyDescent="0.2">
      <c r="A223" t="s">
        <v>692</v>
      </c>
      <c r="B223" s="194"/>
      <c r="C223" s="139" t="s">
        <v>269</v>
      </c>
      <c r="D223" s="194">
        <v>15994463.562548243</v>
      </c>
      <c r="E223" s="194">
        <v>1510250</v>
      </c>
      <c r="F223" s="195">
        <v>9286142</v>
      </c>
      <c r="G223" s="195">
        <v>402998.3</v>
      </c>
      <c r="H223" s="195">
        <v>3595469</v>
      </c>
      <c r="I223" s="195">
        <v>1968320.5429101232</v>
      </c>
      <c r="J223" s="195">
        <v>654</v>
      </c>
      <c r="K223" s="195">
        <v>4547</v>
      </c>
      <c r="L223" s="195">
        <v>127</v>
      </c>
      <c r="M223" s="195">
        <v>32</v>
      </c>
      <c r="N223" s="195">
        <v>0</v>
      </c>
      <c r="O223" s="195">
        <v>0</v>
      </c>
      <c r="P223" s="195">
        <v>16</v>
      </c>
      <c r="Q223">
        <v>0</v>
      </c>
      <c r="R223">
        <v>500</v>
      </c>
      <c r="S223">
        <v>0</v>
      </c>
      <c r="T223">
        <v>1956</v>
      </c>
      <c r="U223">
        <v>0</v>
      </c>
      <c r="V223">
        <v>350</v>
      </c>
      <c r="W223">
        <v>551</v>
      </c>
      <c r="X223">
        <v>477</v>
      </c>
      <c r="Y223">
        <v>0</v>
      </c>
      <c r="Z223" s="195">
        <v>48863000</v>
      </c>
      <c r="AA223" s="195">
        <v>48132000</v>
      </c>
      <c r="AD223" s="139" t="s">
        <v>269</v>
      </c>
    </row>
    <row r="224" spans="1:30" x14ac:dyDescent="0.2">
      <c r="A224" t="s">
        <v>699</v>
      </c>
      <c r="B224" s="194"/>
      <c r="C224" s="139" t="s">
        <v>513</v>
      </c>
      <c r="D224" s="194">
        <v>12329762.329206321</v>
      </c>
      <c r="E224" s="194">
        <v>1227810</v>
      </c>
      <c r="F224" s="195">
        <v>7237663</v>
      </c>
      <c r="G224" s="195">
        <v>267133.02</v>
      </c>
      <c r="H224" s="195">
        <v>1919747</v>
      </c>
      <c r="I224" s="195">
        <v>2680460.3712152466</v>
      </c>
      <c r="J224" s="195">
        <v>595</v>
      </c>
      <c r="K224" s="195">
        <v>3107</v>
      </c>
      <c r="L224" s="195">
        <v>110</v>
      </c>
      <c r="M224" s="195">
        <v>19</v>
      </c>
      <c r="N224" s="195">
        <v>0</v>
      </c>
      <c r="O224" s="195">
        <v>0</v>
      </c>
      <c r="P224" s="195">
        <v>0</v>
      </c>
      <c r="Q224">
        <v>0</v>
      </c>
      <c r="R224">
        <v>0</v>
      </c>
      <c r="S224">
        <v>0</v>
      </c>
      <c r="T224">
        <v>1637</v>
      </c>
      <c r="U224">
        <v>890</v>
      </c>
      <c r="V224">
        <v>47</v>
      </c>
      <c r="W224">
        <v>284</v>
      </c>
      <c r="X224">
        <v>286</v>
      </c>
      <c r="Y224">
        <v>0</v>
      </c>
      <c r="Z224" s="195">
        <v>36356000</v>
      </c>
      <c r="AA224" s="195">
        <v>36537000</v>
      </c>
      <c r="AD224" s="139" t="s">
        <v>513</v>
      </c>
    </row>
    <row r="225" spans="1:30" x14ac:dyDescent="0.2">
      <c r="A225" t="s">
        <v>692</v>
      </c>
      <c r="B225" s="194"/>
      <c r="C225" s="139" t="s">
        <v>270</v>
      </c>
      <c r="D225" s="194">
        <v>8575912.5616413448</v>
      </c>
      <c r="E225" s="194">
        <v>654549</v>
      </c>
      <c r="F225" s="195">
        <v>4141840</v>
      </c>
      <c r="G225" s="195">
        <v>176465.5</v>
      </c>
      <c r="H225" s="195">
        <v>1538955</v>
      </c>
      <c r="I225" s="195">
        <v>1179827.0272285182</v>
      </c>
      <c r="J225" s="195">
        <v>315</v>
      </c>
      <c r="K225" s="195">
        <v>1720</v>
      </c>
      <c r="L225" s="195">
        <v>0</v>
      </c>
      <c r="M225" s="195">
        <v>0</v>
      </c>
      <c r="N225" s="195">
        <v>0</v>
      </c>
      <c r="O225" s="195">
        <v>0</v>
      </c>
      <c r="P225" s="195">
        <v>0</v>
      </c>
      <c r="Q225">
        <v>0</v>
      </c>
      <c r="R225">
        <v>412</v>
      </c>
      <c r="S225">
        <v>0</v>
      </c>
      <c r="T225">
        <v>1900</v>
      </c>
      <c r="U225">
        <v>0</v>
      </c>
      <c r="V225">
        <v>186</v>
      </c>
      <c r="W225">
        <v>325</v>
      </c>
      <c r="X225">
        <v>216</v>
      </c>
      <c r="Y225">
        <v>0</v>
      </c>
      <c r="Z225" s="195">
        <v>22832000</v>
      </c>
      <c r="AA225" s="195">
        <v>22696000</v>
      </c>
      <c r="AD225" s="139" t="s">
        <v>270</v>
      </c>
    </row>
    <row r="226" spans="1:30" x14ac:dyDescent="0.2">
      <c r="A226" t="s">
        <v>697</v>
      </c>
      <c r="B226" s="194"/>
      <c r="C226" s="139" t="s">
        <v>305</v>
      </c>
      <c r="D226" s="194">
        <v>50041439.902333006</v>
      </c>
      <c r="E226" s="194">
        <v>4072133</v>
      </c>
      <c r="F226" s="195">
        <v>24240569</v>
      </c>
      <c r="G226" s="195">
        <v>783765.98</v>
      </c>
      <c r="H226" s="195">
        <v>16921672</v>
      </c>
      <c r="I226" s="195">
        <v>5210278.3907594392</v>
      </c>
      <c r="J226" s="195">
        <v>3419</v>
      </c>
      <c r="K226" s="195">
        <v>11200</v>
      </c>
      <c r="L226" s="195">
        <v>0</v>
      </c>
      <c r="M226" s="195">
        <v>0</v>
      </c>
      <c r="N226" s="195">
        <v>25</v>
      </c>
      <c r="O226" s="195">
        <v>0</v>
      </c>
      <c r="P226" s="195">
        <v>0</v>
      </c>
      <c r="Q226">
        <v>1851</v>
      </c>
      <c r="R226">
        <v>166</v>
      </c>
      <c r="S226">
        <v>10</v>
      </c>
      <c r="T226">
        <v>3841</v>
      </c>
      <c r="U226">
        <v>5154</v>
      </c>
      <c r="V226">
        <v>353</v>
      </c>
      <c r="W226">
        <v>1133</v>
      </c>
      <c r="X226">
        <v>1316</v>
      </c>
      <c r="Y226">
        <v>0</v>
      </c>
      <c r="Z226" s="195">
        <v>166290000</v>
      </c>
      <c r="AA226" s="195">
        <v>171010000</v>
      </c>
      <c r="AD226" s="139" t="s">
        <v>305</v>
      </c>
    </row>
    <row r="227" spans="1:30" x14ac:dyDescent="0.2">
      <c r="A227" t="s">
        <v>697</v>
      </c>
      <c r="B227" s="194"/>
      <c r="C227" s="139" t="s">
        <v>396</v>
      </c>
      <c r="D227" s="194">
        <v>18644628.726447724</v>
      </c>
      <c r="E227" s="194">
        <v>1697371</v>
      </c>
      <c r="F227" s="195">
        <v>8464799</v>
      </c>
      <c r="G227" s="195">
        <v>300557.38</v>
      </c>
      <c r="H227" s="195">
        <v>3104050</v>
      </c>
      <c r="I227" s="195">
        <v>1524086.1408230921</v>
      </c>
      <c r="J227" s="195">
        <v>1020</v>
      </c>
      <c r="K227" s="195">
        <v>6073</v>
      </c>
      <c r="L227" s="195">
        <v>94</v>
      </c>
      <c r="M227" s="195">
        <v>0</v>
      </c>
      <c r="N227" s="195">
        <v>0</v>
      </c>
      <c r="O227" s="195">
        <v>0</v>
      </c>
      <c r="P227" s="195">
        <v>124</v>
      </c>
      <c r="Q227">
        <v>22</v>
      </c>
      <c r="R227">
        <v>739</v>
      </c>
      <c r="S227">
        <v>25</v>
      </c>
      <c r="T227">
        <v>2112</v>
      </c>
      <c r="U227">
        <v>2647</v>
      </c>
      <c r="V227">
        <v>133</v>
      </c>
      <c r="W227">
        <v>1017</v>
      </c>
      <c r="X227">
        <v>448</v>
      </c>
      <c r="Y227">
        <v>16</v>
      </c>
      <c r="Z227" s="195">
        <v>77429000</v>
      </c>
      <c r="AA227" s="195">
        <v>77764000</v>
      </c>
      <c r="AD227" s="139" t="s">
        <v>396</v>
      </c>
    </row>
    <row r="228" spans="1:30" x14ac:dyDescent="0.2">
      <c r="A228" t="s">
        <v>692</v>
      </c>
      <c r="B228" s="194"/>
      <c r="C228" s="139" t="s">
        <v>271</v>
      </c>
      <c r="D228" s="194">
        <v>27685736.30883351</v>
      </c>
      <c r="E228" s="194">
        <v>2452749</v>
      </c>
      <c r="F228" s="195">
        <v>13839049</v>
      </c>
      <c r="G228" s="195">
        <v>572642</v>
      </c>
      <c r="H228" s="195">
        <v>5844539</v>
      </c>
      <c r="I228" s="195">
        <v>2540555.3579291627</v>
      </c>
      <c r="J228" s="195">
        <v>1400</v>
      </c>
      <c r="K228" s="195">
        <v>7340</v>
      </c>
      <c r="L228" s="195">
        <v>230</v>
      </c>
      <c r="M228" s="195">
        <v>142</v>
      </c>
      <c r="N228" s="195">
        <v>0</v>
      </c>
      <c r="O228" s="195">
        <v>0</v>
      </c>
      <c r="P228" s="195">
        <v>18</v>
      </c>
      <c r="Q228">
        <v>599</v>
      </c>
      <c r="R228">
        <v>0</v>
      </c>
      <c r="S228">
        <v>0</v>
      </c>
      <c r="T228">
        <v>2722</v>
      </c>
      <c r="U228">
        <v>2922</v>
      </c>
      <c r="V228">
        <v>592</v>
      </c>
      <c r="W228">
        <v>1086</v>
      </c>
      <c r="X228">
        <v>668</v>
      </c>
      <c r="Y228">
        <v>66</v>
      </c>
      <c r="Z228" s="195">
        <v>97260000</v>
      </c>
      <c r="AA228" s="195">
        <v>99771000</v>
      </c>
      <c r="AD228" s="139" t="s">
        <v>271</v>
      </c>
    </row>
    <row r="229" spans="1:30" x14ac:dyDescent="0.2">
      <c r="A229" t="s">
        <v>692</v>
      </c>
      <c r="B229" s="194"/>
      <c r="C229" s="139" t="s">
        <v>272</v>
      </c>
      <c r="D229" s="194">
        <v>171545375.28616875</v>
      </c>
      <c r="E229" s="194">
        <v>11636956</v>
      </c>
      <c r="F229" s="195">
        <v>144298667</v>
      </c>
      <c r="G229" s="195">
        <v>17937228.699999999</v>
      </c>
      <c r="H229" s="195">
        <v>94432951</v>
      </c>
      <c r="I229" s="195">
        <v>37092417.945400342</v>
      </c>
      <c r="J229" s="195">
        <v>9916</v>
      </c>
      <c r="K229" s="195">
        <v>62859</v>
      </c>
      <c r="L229" s="195">
        <v>1145</v>
      </c>
      <c r="M229" s="195">
        <v>560</v>
      </c>
      <c r="N229" s="195">
        <v>0</v>
      </c>
      <c r="O229" s="195">
        <v>0</v>
      </c>
      <c r="P229" s="195">
        <v>0</v>
      </c>
      <c r="Q229">
        <v>16167</v>
      </c>
      <c r="R229">
        <v>553</v>
      </c>
      <c r="S229">
        <v>0</v>
      </c>
      <c r="T229">
        <v>13600</v>
      </c>
      <c r="U229">
        <v>3113</v>
      </c>
      <c r="V229">
        <v>0</v>
      </c>
      <c r="W229">
        <v>4100</v>
      </c>
      <c r="X229">
        <v>2873</v>
      </c>
      <c r="Y229">
        <v>300</v>
      </c>
      <c r="Z229" s="195">
        <v>732571000</v>
      </c>
      <c r="AA229" s="195">
        <v>726906000</v>
      </c>
      <c r="AD229" s="139" t="s">
        <v>272</v>
      </c>
    </row>
    <row r="230" spans="1:30" x14ac:dyDescent="0.2">
      <c r="A230" t="s">
        <v>694</v>
      </c>
      <c r="B230" s="194"/>
      <c r="C230" s="139" t="s">
        <v>596</v>
      </c>
      <c r="D230" s="194">
        <v>74671149.642193019</v>
      </c>
      <c r="E230" s="194">
        <v>6416738</v>
      </c>
      <c r="F230" s="195">
        <v>53873727</v>
      </c>
      <c r="G230" s="195">
        <v>5359264.26</v>
      </c>
      <c r="H230" s="195">
        <v>30725628</v>
      </c>
      <c r="I230" s="195">
        <v>10089087.038521431</v>
      </c>
      <c r="J230" s="195">
        <v>2420</v>
      </c>
      <c r="K230" s="195">
        <v>12565</v>
      </c>
      <c r="L230" s="195">
        <v>675</v>
      </c>
      <c r="M230" s="195">
        <v>232</v>
      </c>
      <c r="N230" s="195">
        <v>0</v>
      </c>
      <c r="O230" s="195">
        <v>0</v>
      </c>
      <c r="P230" s="195">
        <v>19</v>
      </c>
      <c r="Q230">
        <v>1057</v>
      </c>
      <c r="R230">
        <v>38</v>
      </c>
      <c r="S230">
        <v>0</v>
      </c>
      <c r="T230">
        <v>5312</v>
      </c>
      <c r="U230">
        <v>11401</v>
      </c>
      <c r="V230">
        <v>415</v>
      </c>
      <c r="W230">
        <v>550</v>
      </c>
      <c r="X230">
        <v>1708</v>
      </c>
      <c r="Y230">
        <v>137</v>
      </c>
      <c r="Z230" s="195">
        <v>233738000</v>
      </c>
      <c r="AA230" s="195">
        <v>236973000</v>
      </c>
      <c r="AD230" s="139" t="s">
        <v>596</v>
      </c>
    </row>
    <row r="231" spans="1:30" x14ac:dyDescent="0.2">
      <c r="A231" t="s">
        <v>701</v>
      </c>
      <c r="B231" s="194"/>
      <c r="C231" s="139" t="s">
        <v>426</v>
      </c>
      <c r="D231" s="194">
        <v>6866590.4002285693</v>
      </c>
      <c r="E231" s="194">
        <v>566316</v>
      </c>
      <c r="F231" s="195">
        <v>3096083</v>
      </c>
      <c r="G231" s="195">
        <v>228674.74</v>
      </c>
      <c r="H231" s="195">
        <v>1268263</v>
      </c>
      <c r="I231" s="195">
        <v>645321.8326516794</v>
      </c>
      <c r="J231" s="195">
        <v>245</v>
      </c>
      <c r="K231" s="195">
        <v>1750</v>
      </c>
      <c r="L231" s="195">
        <v>24</v>
      </c>
      <c r="M231" s="195">
        <v>1551</v>
      </c>
      <c r="N231" s="195">
        <v>0</v>
      </c>
      <c r="O231" s="195">
        <v>0</v>
      </c>
      <c r="P231" s="195">
        <v>634</v>
      </c>
      <c r="Q231">
        <v>0</v>
      </c>
      <c r="R231">
        <v>0</v>
      </c>
      <c r="S231">
        <v>0</v>
      </c>
      <c r="T231">
        <v>775</v>
      </c>
      <c r="U231">
        <v>976</v>
      </c>
      <c r="V231">
        <v>122</v>
      </c>
      <c r="W231">
        <v>200</v>
      </c>
      <c r="X231">
        <v>110</v>
      </c>
      <c r="Y231">
        <v>0</v>
      </c>
      <c r="Z231" s="195">
        <v>23251000</v>
      </c>
      <c r="AA231" s="195">
        <v>23155000</v>
      </c>
      <c r="AD231" s="139" t="s">
        <v>426</v>
      </c>
    </row>
    <row r="232" spans="1:30" x14ac:dyDescent="0.2">
      <c r="A232" t="s">
        <v>689</v>
      </c>
      <c r="B232" s="194"/>
      <c r="C232" s="139" t="s">
        <v>169</v>
      </c>
      <c r="D232" s="194">
        <v>23897619.471945643</v>
      </c>
      <c r="E232" s="194">
        <v>2636372</v>
      </c>
      <c r="F232" s="195">
        <v>13563217</v>
      </c>
      <c r="G232" s="195">
        <v>1769888.58</v>
      </c>
      <c r="H232" s="195">
        <v>7952466</v>
      </c>
      <c r="I232" s="195">
        <v>4602965.5243702745</v>
      </c>
      <c r="J232" s="195">
        <v>949</v>
      </c>
      <c r="K232" s="195">
        <v>4607</v>
      </c>
      <c r="L232" s="195">
        <v>84</v>
      </c>
      <c r="M232" s="195">
        <v>220</v>
      </c>
      <c r="N232" s="195">
        <v>0</v>
      </c>
      <c r="O232" s="195">
        <v>0</v>
      </c>
      <c r="P232" s="195">
        <v>213</v>
      </c>
      <c r="Q232">
        <v>0</v>
      </c>
      <c r="R232">
        <v>0</v>
      </c>
      <c r="S232">
        <v>0</v>
      </c>
      <c r="T232">
        <v>3840</v>
      </c>
      <c r="U232">
        <v>2734</v>
      </c>
      <c r="V232">
        <v>197</v>
      </c>
      <c r="W232">
        <v>392</v>
      </c>
      <c r="X232">
        <v>550</v>
      </c>
      <c r="Y232">
        <v>31</v>
      </c>
      <c r="Z232" s="195">
        <v>84278000</v>
      </c>
      <c r="AA232" s="195">
        <v>85033000</v>
      </c>
      <c r="AD232" s="139" t="s">
        <v>169</v>
      </c>
    </row>
    <row r="233" spans="1:30" x14ac:dyDescent="0.2">
      <c r="A233" t="s">
        <v>696</v>
      </c>
      <c r="B233" s="194"/>
      <c r="C233" s="139" t="s">
        <v>532</v>
      </c>
      <c r="D233" s="194">
        <v>40788260.531182066</v>
      </c>
      <c r="E233" s="194">
        <v>2906725</v>
      </c>
      <c r="F233" s="195">
        <v>21420763</v>
      </c>
      <c r="G233" s="195">
        <v>1080655.24</v>
      </c>
      <c r="H233" s="195">
        <v>12864735</v>
      </c>
      <c r="I233" s="195">
        <v>6163936.8379420415</v>
      </c>
      <c r="J233" s="195">
        <v>2230</v>
      </c>
      <c r="K233" s="195">
        <v>8438</v>
      </c>
      <c r="L233" s="195">
        <v>0</v>
      </c>
      <c r="M233" s="195">
        <v>255</v>
      </c>
      <c r="N233" s="195">
        <v>0</v>
      </c>
      <c r="O233" s="195">
        <v>0</v>
      </c>
      <c r="P233" s="195">
        <v>0</v>
      </c>
      <c r="Q233">
        <v>0</v>
      </c>
      <c r="R233">
        <v>0</v>
      </c>
      <c r="S233">
        <v>0</v>
      </c>
      <c r="T233">
        <v>3379</v>
      </c>
      <c r="U233">
        <v>4761</v>
      </c>
      <c r="V233">
        <v>626</v>
      </c>
      <c r="W233">
        <v>855</v>
      </c>
      <c r="X233">
        <v>693</v>
      </c>
      <c r="Y233">
        <v>35</v>
      </c>
      <c r="Z233" s="195">
        <v>116376000</v>
      </c>
      <c r="AA233" s="195">
        <v>116942000</v>
      </c>
      <c r="AD233" s="139" t="s">
        <v>532</v>
      </c>
    </row>
    <row r="234" spans="1:30" x14ac:dyDescent="0.2">
      <c r="A234" t="s">
        <v>694</v>
      </c>
      <c r="B234" s="194"/>
      <c r="C234" s="139" t="s">
        <v>397</v>
      </c>
      <c r="D234" s="194">
        <v>17001045.604958277</v>
      </c>
      <c r="E234" s="194">
        <v>1921212</v>
      </c>
      <c r="F234" s="195">
        <v>8661678</v>
      </c>
      <c r="G234" s="195">
        <v>251159.52</v>
      </c>
      <c r="H234" s="195">
        <v>3790586</v>
      </c>
      <c r="I234" s="195">
        <v>2229651.8239082736</v>
      </c>
      <c r="J234" s="195">
        <v>690</v>
      </c>
      <c r="K234" s="195">
        <v>6040</v>
      </c>
      <c r="L234" s="195">
        <v>214</v>
      </c>
      <c r="M234" s="195">
        <v>1736</v>
      </c>
      <c r="N234" s="195">
        <v>0</v>
      </c>
      <c r="O234" s="195">
        <v>0</v>
      </c>
      <c r="P234" s="195">
        <v>768</v>
      </c>
      <c r="Q234">
        <v>3005</v>
      </c>
      <c r="R234">
        <v>2716</v>
      </c>
      <c r="S234">
        <v>0</v>
      </c>
      <c r="T234">
        <v>2277</v>
      </c>
      <c r="U234">
        <v>2908</v>
      </c>
      <c r="V234">
        <v>232</v>
      </c>
      <c r="W234">
        <v>700</v>
      </c>
      <c r="X234">
        <v>367</v>
      </c>
      <c r="Y234">
        <v>26</v>
      </c>
      <c r="Z234" s="195">
        <v>73870000</v>
      </c>
      <c r="AA234" s="195">
        <v>76008000</v>
      </c>
      <c r="AD234" s="139" t="s">
        <v>397</v>
      </c>
    </row>
    <row r="235" spans="1:30" x14ac:dyDescent="0.2">
      <c r="A235" t="s">
        <v>694</v>
      </c>
      <c r="B235" s="194"/>
      <c r="C235" s="139" t="s">
        <v>398</v>
      </c>
      <c r="D235" s="194">
        <v>11317820.272046827</v>
      </c>
      <c r="E235" s="194">
        <v>1127169</v>
      </c>
      <c r="F235" s="195">
        <v>5717176</v>
      </c>
      <c r="G235" s="195">
        <v>189121.22</v>
      </c>
      <c r="H235" s="195">
        <v>2046093</v>
      </c>
      <c r="I235" s="195">
        <v>1239895.2277024298</v>
      </c>
      <c r="J235" s="195">
        <v>435</v>
      </c>
      <c r="K235" s="195">
        <v>2244</v>
      </c>
      <c r="L235" s="195">
        <v>113</v>
      </c>
      <c r="M235" s="195">
        <v>427</v>
      </c>
      <c r="N235" s="195">
        <v>0</v>
      </c>
      <c r="O235" s="195">
        <v>0</v>
      </c>
      <c r="P235" s="195">
        <v>126</v>
      </c>
      <c r="Q235">
        <v>0</v>
      </c>
      <c r="R235">
        <v>1610</v>
      </c>
      <c r="S235">
        <v>4</v>
      </c>
      <c r="T235">
        <v>2117</v>
      </c>
      <c r="U235">
        <v>1801</v>
      </c>
      <c r="V235">
        <v>0</v>
      </c>
      <c r="W235">
        <v>326</v>
      </c>
      <c r="X235">
        <v>263</v>
      </c>
      <c r="Y235">
        <v>8</v>
      </c>
      <c r="Z235" s="195">
        <v>35924000</v>
      </c>
      <c r="AA235" s="195">
        <v>36408000</v>
      </c>
      <c r="AD235" s="139" t="s">
        <v>398</v>
      </c>
    </row>
    <row r="236" spans="1:30" x14ac:dyDescent="0.2">
      <c r="A236" t="s">
        <v>690</v>
      </c>
      <c r="B236" s="194"/>
      <c r="C236" s="139" t="s">
        <v>536</v>
      </c>
      <c r="D236" s="194">
        <v>14907309.220168509</v>
      </c>
      <c r="E236" s="194">
        <v>1435786</v>
      </c>
      <c r="F236" s="195">
        <v>7121994</v>
      </c>
      <c r="G236" s="195">
        <v>215099.62</v>
      </c>
      <c r="H236" s="195">
        <v>4473743</v>
      </c>
      <c r="I236" s="195">
        <v>2035692.5990334291</v>
      </c>
      <c r="J236" s="195">
        <v>623</v>
      </c>
      <c r="K236" s="195">
        <v>5680</v>
      </c>
      <c r="L236" s="195">
        <v>0</v>
      </c>
      <c r="M236" s="195">
        <v>24</v>
      </c>
      <c r="N236" s="195">
        <v>0</v>
      </c>
      <c r="O236" s="195">
        <v>0</v>
      </c>
      <c r="P236" s="195">
        <v>0</v>
      </c>
      <c r="Q236">
        <v>0</v>
      </c>
      <c r="R236">
        <v>0</v>
      </c>
      <c r="S236">
        <v>0</v>
      </c>
      <c r="T236">
        <v>2217</v>
      </c>
      <c r="U236">
        <v>1887</v>
      </c>
      <c r="V236">
        <v>93</v>
      </c>
      <c r="W236">
        <v>590</v>
      </c>
      <c r="X236">
        <v>396</v>
      </c>
      <c r="Y236">
        <v>14</v>
      </c>
      <c r="Z236" s="195">
        <v>56765000</v>
      </c>
      <c r="AA236" s="195">
        <v>55944000</v>
      </c>
      <c r="AD236" s="139" t="s">
        <v>536</v>
      </c>
    </row>
    <row r="237" spans="1:30" x14ac:dyDescent="0.2">
      <c r="A237" t="s">
        <v>692</v>
      </c>
      <c r="B237" s="194"/>
      <c r="C237" s="139" t="s">
        <v>273</v>
      </c>
      <c r="D237" s="194">
        <v>19537932.671922121</v>
      </c>
      <c r="E237" s="194">
        <v>1893602</v>
      </c>
      <c r="F237" s="195">
        <v>11524045</v>
      </c>
      <c r="G237" s="195">
        <v>391483.96</v>
      </c>
      <c r="H237" s="195">
        <v>3827864</v>
      </c>
      <c r="I237" s="195">
        <v>3336652.1411589654</v>
      </c>
      <c r="J237" s="195">
        <v>546</v>
      </c>
      <c r="K237" s="195">
        <v>3236</v>
      </c>
      <c r="L237" s="195">
        <v>0</v>
      </c>
      <c r="M237" s="195">
        <v>509</v>
      </c>
      <c r="N237" s="195">
        <v>0</v>
      </c>
      <c r="O237" s="195">
        <v>0</v>
      </c>
      <c r="P237" s="195">
        <v>546</v>
      </c>
      <c r="Q237">
        <v>0</v>
      </c>
      <c r="R237">
        <v>0</v>
      </c>
      <c r="S237">
        <v>0</v>
      </c>
      <c r="T237">
        <v>1555</v>
      </c>
      <c r="U237">
        <v>2042</v>
      </c>
      <c r="V237">
        <v>369</v>
      </c>
      <c r="W237">
        <v>706</v>
      </c>
      <c r="X237">
        <v>479</v>
      </c>
      <c r="Y237">
        <v>55</v>
      </c>
      <c r="Z237" s="195">
        <v>53684000</v>
      </c>
      <c r="AA237" s="195">
        <v>53298000</v>
      </c>
      <c r="AD237" s="139" t="s">
        <v>273</v>
      </c>
    </row>
    <row r="238" spans="1:30" x14ac:dyDescent="0.2">
      <c r="A238" t="s">
        <v>699</v>
      </c>
      <c r="B238" s="194"/>
      <c r="C238" s="139" t="s">
        <v>514</v>
      </c>
      <c r="D238" s="194">
        <v>10665246.216447335</v>
      </c>
      <c r="E238" s="194">
        <v>1362099</v>
      </c>
      <c r="F238" s="195">
        <v>7413786</v>
      </c>
      <c r="G238" s="195">
        <v>179400.7</v>
      </c>
      <c r="H238" s="195">
        <v>2747626</v>
      </c>
      <c r="I238" s="195">
        <v>3012880.4953238531</v>
      </c>
      <c r="J238" s="195">
        <v>415</v>
      </c>
      <c r="K238" s="195">
        <v>2713</v>
      </c>
      <c r="L238" s="195">
        <v>88</v>
      </c>
      <c r="M238" s="195">
        <v>52</v>
      </c>
      <c r="N238" s="195">
        <v>0</v>
      </c>
      <c r="O238" s="195">
        <v>0</v>
      </c>
      <c r="P238" s="195">
        <v>0</v>
      </c>
      <c r="Q238">
        <v>0</v>
      </c>
      <c r="R238">
        <v>0</v>
      </c>
      <c r="S238">
        <v>0</v>
      </c>
      <c r="T238">
        <v>1999</v>
      </c>
      <c r="U238">
        <v>1371</v>
      </c>
      <c r="V238">
        <v>143</v>
      </c>
      <c r="W238">
        <v>215</v>
      </c>
      <c r="X238">
        <v>275</v>
      </c>
      <c r="Y238">
        <v>5</v>
      </c>
      <c r="Z238" s="195">
        <v>36571000</v>
      </c>
      <c r="AA238" s="195">
        <v>38868000</v>
      </c>
      <c r="AD238" s="139" t="s">
        <v>514</v>
      </c>
    </row>
    <row r="239" spans="1:30" x14ac:dyDescent="0.2">
      <c r="A239" t="s">
        <v>694</v>
      </c>
      <c r="B239" s="194"/>
      <c r="C239" s="139" t="s">
        <v>399</v>
      </c>
      <c r="D239" s="194">
        <v>15550870.471074063</v>
      </c>
      <c r="E239" s="194">
        <v>1172890</v>
      </c>
      <c r="F239" s="195">
        <v>6544087</v>
      </c>
      <c r="G239" s="195">
        <v>132682.9</v>
      </c>
      <c r="H239" s="195">
        <v>3367478</v>
      </c>
      <c r="I239" s="195">
        <v>1250508.1542600687</v>
      </c>
      <c r="J239" s="195">
        <v>720</v>
      </c>
      <c r="K239" s="195">
        <v>5116</v>
      </c>
      <c r="L239" s="195">
        <v>106</v>
      </c>
      <c r="M239" s="195">
        <v>166</v>
      </c>
      <c r="N239" s="195">
        <v>0</v>
      </c>
      <c r="O239" s="195">
        <v>0</v>
      </c>
      <c r="P239" s="195">
        <v>0</v>
      </c>
      <c r="Q239">
        <v>0</v>
      </c>
      <c r="R239">
        <v>1776</v>
      </c>
      <c r="S239">
        <v>0</v>
      </c>
      <c r="T239">
        <v>2298</v>
      </c>
      <c r="U239">
        <v>2284</v>
      </c>
      <c r="V239">
        <v>0</v>
      </c>
      <c r="W239">
        <v>459</v>
      </c>
      <c r="X239">
        <v>383</v>
      </c>
      <c r="Y239">
        <v>42</v>
      </c>
      <c r="Z239" s="195">
        <v>63171000</v>
      </c>
      <c r="AA239" s="195">
        <v>64557000</v>
      </c>
      <c r="AD239" s="139" t="s">
        <v>399</v>
      </c>
    </row>
    <row r="240" spans="1:30" x14ac:dyDescent="0.2">
      <c r="A240" t="s">
        <v>690</v>
      </c>
      <c r="B240" s="194"/>
      <c r="C240" s="139" t="s">
        <v>472</v>
      </c>
      <c r="D240" s="194">
        <v>12125791.074339058</v>
      </c>
      <c r="E240" s="194">
        <v>1122144</v>
      </c>
      <c r="F240" s="195">
        <v>7184536</v>
      </c>
      <c r="G240" s="195">
        <v>284062.56</v>
      </c>
      <c r="H240" s="195">
        <v>1714399</v>
      </c>
      <c r="I240" s="195">
        <v>3004690.1047044941</v>
      </c>
      <c r="J240" s="195">
        <v>1080</v>
      </c>
      <c r="K240" s="195">
        <v>4430</v>
      </c>
      <c r="L240" s="195">
        <v>0</v>
      </c>
      <c r="M240" s="195">
        <v>236</v>
      </c>
      <c r="N240" s="195">
        <v>36</v>
      </c>
      <c r="O240" s="195">
        <v>0</v>
      </c>
      <c r="P240" s="195">
        <v>22</v>
      </c>
      <c r="Q240">
        <v>0</v>
      </c>
      <c r="R240">
        <v>0</v>
      </c>
      <c r="S240">
        <v>0</v>
      </c>
      <c r="T240">
        <v>1318</v>
      </c>
      <c r="U240">
        <v>1272</v>
      </c>
      <c r="V240">
        <v>0</v>
      </c>
      <c r="W240">
        <v>491</v>
      </c>
      <c r="X240">
        <v>277</v>
      </c>
      <c r="Y240">
        <v>13</v>
      </c>
      <c r="Z240" s="195">
        <v>47213000</v>
      </c>
      <c r="AA240" s="195">
        <v>46696000</v>
      </c>
      <c r="AD240" s="139" t="s">
        <v>472</v>
      </c>
    </row>
    <row r="241" spans="1:30" x14ac:dyDescent="0.2">
      <c r="A241" t="s">
        <v>690</v>
      </c>
      <c r="B241" s="194"/>
      <c r="C241" s="139" t="s">
        <v>473</v>
      </c>
      <c r="D241" s="194">
        <v>18536164.893961623</v>
      </c>
      <c r="E241" s="194">
        <v>1898053</v>
      </c>
      <c r="F241" s="195">
        <v>11645879</v>
      </c>
      <c r="G241" s="195">
        <v>276225.32</v>
      </c>
      <c r="H241" s="195">
        <v>4044485</v>
      </c>
      <c r="I241" s="195">
        <v>3906634.5826191567</v>
      </c>
      <c r="J241" s="195">
        <v>749</v>
      </c>
      <c r="K241" s="195">
        <v>4875</v>
      </c>
      <c r="L241" s="195">
        <v>123</v>
      </c>
      <c r="M241" s="195">
        <v>616</v>
      </c>
      <c r="N241" s="195">
        <v>76</v>
      </c>
      <c r="O241" s="195">
        <v>2</v>
      </c>
      <c r="P241" s="195">
        <v>27</v>
      </c>
      <c r="Q241">
        <v>976</v>
      </c>
      <c r="R241">
        <v>156</v>
      </c>
      <c r="S241">
        <v>0</v>
      </c>
      <c r="T241">
        <v>2455</v>
      </c>
      <c r="U241">
        <v>2133</v>
      </c>
      <c r="V241">
        <v>0</v>
      </c>
      <c r="W241">
        <v>767</v>
      </c>
      <c r="X241">
        <v>445</v>
      </c>
      <c r="Y241">
        <v>25</v>
      </c>
      <c r="Z241" s="195">
        <v>60434000</v>
      </c>
      <c r="AA241" s="195">
        <v>60795000</v>
      </c>
      <c r="AD241" s="139" t="s">
        <v>473</v>
      </c>
    </row>
    <row r="242" spans="1:30" x14ac:dyDescent="0.2">
      <c r="A242" t="s">
        <v>698</v>
      </c>
      <c r="B242" s="194"/>
      <c r="C242" s="139" t="s">
        <v>188</v>
      </c>
      <c r="D242" s="194">
        <v>38082493.17831549</v>
      </c>
      <c r="E242" s="194">
        <v>4441941</v>
      </c>
      <c r="F242" s="195">
        <v>36160984</v>
      </c>
      <c r="G242" s="195">
        <v>3033685.02</v>
      </c>
      <c r="H242" s="195">
        <v>17672208</v>
      </c>
      <c r="I242" s="195">
        <v>17861243.459883839</v>
      </c>
      <c r="J242" s="195">
        <v>2326</v>
      </c>
      <c r="K242" s="195">
        <v>9391</v>
      </c>
      <c r="L242" s="195">
        <v>0</v>
      </c>
      <c r="M242" s="195">
        <v>60</v>
      </c>
      <c r="N242" s="195">
        <v>237</v>
      </c>
      <c r="O242" s="195">
        <v>0</v>
      </c>
      <c r="P242" s="195">
        <v>0</v>
      </c>
      <c r="Q242">
        <v>0</v>
      </c>
      <c r="R242">
        <v>769</v>
      </c>
      <c r="S242">
        <v>0</v>
      </c>
      <c r="T242">
        <v>4678</v>
      </c>
      <c r="U242">
        <v>3547</v>
      </c>
      <c r="V242">
        <v>175</v>
      </c>
      <c r="W242">
        <v>807</v>
      </c>
      <c r="X242">
        <v>844</v>
      </c>
      <c r="Y242">
        <v>41</v>
      </c>
      <c r="Z242" s="195">
        <v>133698000</v>
      </c>
      <c r="AA242" s="195">
        <v>135481000</v>
      </c>
      <c r="AD242" s="139" t="s">
        <v>188</v>
      </c>
    </row>
    <row r="243" spans="1:30" x14ac:dyDescent="0.2">
      <c r="A243" t="s">
        <v>692</v>
      </c>
      <c r="B243" s="194"/>
      <c r="C243" s="139" t="s">
        <v>274</v>
      </c>
      <c r="D243" s="194">
        <v>15579973.498513669</v>
      </c>
      <c r="E243" s="194">
        <v>1539736</v>
      </c>
      <c r="F243" s="195">
        <v>9447184</v>
      </c>
      <c r="G243" s="195">
        <v>275355.59999999998</v>
      </c>
      <c r="H243" s="195">
        <v>3411936</v>
      </c>
      <c r="I243" s="195">
        <v>2723371.7084351289</v>
      </c>
      <c r="J243" s="195">
        <v>625</v>
      </c>
      <c r="K243" s="195">
        <v>3789</v>
      </c>
      <c r="L243" s="195">
        <v>108</v>
      </c>
      <c r="M243" s="195">
        <v>452</v>
      </c>
      <c r="N243" s="195">
        <v>0</v>
      </c>
      <c r="O243" s="195">
        <v>0</v>
      </c>
      <c r="P243" s="195">
        <v>37</v>
      </c>
      <c r="Q243">
        <v>0</v>
      </c>
      <c r="R243">
        <v>1373</v>
      </c>
      <c r="S243">
        <v>0</v>
      </c>
      <c r="T243">
        <v>1450</v>
      </c>
      <c r="U243">
        <v>1861</v>
      </c>
      <c r="V243">
        <v>512</v>
      </c>
      <c r="W243">
        <v>368</v>
      </c>
      <c r="X243">
        <v>280</v>
      </c>
      <c r="Y243">
        <v>0</v>
      </c>
      <c r="Z243" s="195">
        <v>52016000</v>
      </c>
      <c r="AA243" s="195">
        <v>51490000</v>
      </c>
      <c r="AD243" s="139" t="s">
        <v>274</v>
      </c>
    </row>
    <row r="244" spans="1:30" x14ac:dyDescent="0.2">
      <c r="A244" t="s">
        <v>695</v>
      </c>
      <c r="B244" s="194"/>
      <c r="C244" s="139" t="s">
        <v>229</v>
      </c>
      <c r="D244" s="194">
        <v>26397269.911747225</v>
      </c>
      <c r="E244" s="194">
        <v>2618750</v>
      </c>
      <c r="F244" s="195">
        <v>18500315</v>
      </c>
      <c r="G244" s="195">
        <v>471892.47999999998</v>
      </c>
      <c r="H244" s="195">
        <v>8255899</v>
      </c>
      <c r="I244" s="195">
        <v>8214268.6464091809</v>
      </c>
      <c r="J244" s="195">
        <v>1351</v>
      </c>
      <c r="K244" s="195">
        <v>5367</v>
      </c>
      <c r="L244" s="195">
        <v>218</v>
      </c>
      <c r="M244" s="195">
        <v>47</v>
      </c>
      <c r="N244" s="195">
        <v>130</v>
      </c>
      <c r="O244" s="195">
        <v>0</v>
      </c>
      <c r="P244" s="195">
        <v>0</v>
      </c>
      <c r="Q244">
        <v>739</v>
      </c>
      <c r="R244">
        <v>21</v>
      </c>
      <c r="S244">
        <v>0</v>
      </c>
      <c r="T244">
        <v>2678</v>
      </c>
      <c r="U244">
        <v>3644</v>
      </c>
      <c r="V244">
        <v>307</v>
      </c>
      <c r="W244">
        <v>819</v>
      </c>
      <c r="X244">
        <v>571</v>
      </c>
      <c r="Y244">
        <v>50</v>
      </c>
      <c r="Z244" s="195">
        <v>83369000</v>
      </c>
      <c r="AA244" s="195">
        <v>84316000</v>
      </c>
      <c r="AD244" s="139" t="s">
        <v>229</v>
      </c>
    </row>
    <row r="245" spans="1:30" x14ac:dyDescent="0.2">
      <c r="A245" t="s">
        <v>695</v>
      </c>
      <c r="B245" s="194"/>
      <c r="C245" s="139" t="s">
        <v>230</v>
      </c>
      <c r="D245" s="194">
        <v>13020591.509441286</v>
      </c>
      <c r="E245" s="194">
        <v>1294011</v>
      </c>
      <c r="F245" s="195">
        <v>7777640</v>
      </c>
      <c r="G245" s="195">
        <v>228738.22</v>
      </c>
      <c r="H245" s="195">
        <v>2472227</v>
      </c>
      <c r="I245" s="195">
        <v>2356454.9555523284</v>
      </c>
      <c r="J245" s="195">
        <v>479</v>
      </c>
      <c r="K245" s="195">
        <v>3563</v>
      </c>
      <c r="L245" s="195">
        <v>0</v>
      </c>
      <c r="M245" s="195">
        <v>71</v>
      </c>
      <c r="N245" s="195">
        <v>19</v>
      </c>
      <c r="O245" s="195">
        <v>16</v>
      </c>
      <c r="P245" s="195">
        <v>0</v>
      </c>
      <c r="Q245">
        <v>0</v>
      </c>
      <c r="R245">
        <v>0</v>
      </c>
      <c r="S245">
        <v>0</v>
      </c>
      <c r="T245">
        <v>1910</v>
      </c>
      <c r="U245">
        <v>1334</v>
      </c>
      <c r="V245">
        <v>75</v>
      </c>
      <c r="W245">
        <v>232</v>
      </c>
      <c r="X245">
        <v>296</v>
      </c>
      <c r="Y245">
        <v>0</v>
      </c>
      <c r="Z245" s="195">
        <v>42281000</v>
      </c>
      <c r="AA245" s="195">
        <v>42422000</v>
      </c>
      <c r="AD245" s="139" t="s">
        <v>230</v>
      </c>
    </row>
    <row r="246" spans="1:30" x14ac:dyDescent="0.2">
      <c r="A246" t="s">
        <v>695</v>
      </c>
      <c r="B246" s="194"/>
      <c r="C246" s="139" t="s">
        <v>231</v>
      </c>
      <c r="D246" s="194">
        <v>14998207.771423005</v>
      </c>
      <c r="E246" s="194">
        <v>1217578</v>
      </c>
      <c r="F246" s="195">
        <v>9029751</v>
      </c>
      <c r="G246" s="195">
        <v>238614.96000000002</v>
      </c>
      <c r="H246" s="195">
        <v>2986893</v>
      </c>
      <c r="I246" s="195">
        <v>3446040.9697877904</v>
      </c>
      <c r="J246" s="195">
        <v>494</v>
      </c>
      <c r="K246" s="195">
        <v>2513</v>
      </c>
      <c r="L246" s="195">
        <v>79</v>
      </c>
      <c r="M246" s="195">
        <v>681</v>
      </c>
      <c r="N246" s="195">
        <v>0</v>
      </c>
      <c r="O246" s="195">
        <v>0</v>
      </c>
      <c r="P246" s="195">
        <v>782</v>
      </c>
      <c r="Q246">
        <v>0</v>
      </c>
      <c r="R246">
        <v>40</v>
      </c>
      <c r="S246">
        <v>0</v>
      </c>
      <c r="T246">
        <v>1468</v>
      </c>
      <c r="U246">
        <v>1812</v>
      </c>
      <c r="V246">
        <v>371</v>
      </c>
      <c r="W246">
        <v>455</v>
      </c>
      <c r="X246">
        <v>305</v>
      </c>
      <c r="Y246">
        <v>33</v>
      </c>
      <c r="Z246" s="195">
        <v>47979000</v>
      </c>
      <c r="AA246" s="195">
        <v>48372000</v>
      </c>
      <c r="AD246" s="139" t="s">
        <v>231</v>
      </c>
    </row>
    <row r="247" spans="1:30" x14ac:dyDescent="0.2">
      <c r="A247" t="s">
        <v>699</v>
      </c>
      <c r="B247" s="194"/>
      <c r="C247" s="139" t="s">
        <v>515</v>
      </c>
      <c r="D247" s="194">
        <v>6242278.0788169019</v>
      </c>
      <c r="E247" s="194">
        <v>700684</v>
      </c>
      <c r="F247" s="195">
        <v>5397148</v>
      </c>
      <c r="G247" s="195">
        <v>61579</v>
      </c>
      <c r="H247" s="195">
        <v>1928977</v>
      </c>
      <c r="I247" s="195">
        <v>2340588.5854060878</v>
      </c>
      <c r="J247" s="195">
        <v>55</v>
      </c>
      <c r="K247" s="195">
        <v>1224</v>
      </c>
      <c r="L247" s="195">
        <v>0</v>
      </c>
      <c r="M247" s="195">
        <v>11</v>
      </c>
      <c r="N247" s="195">
        <v>0</v>
      </c>
      <c r="O247" s="195">
        <v>2</v>
      </c>
      <c r="P247" s="195">
        <v>0</v>
      </c>
      <c r="Q247">
        <v>0</v>
      </c>
      <c r="R247">
        <v>0</v>
      </c>
      <c r="S247">
        <v>0</v>
      </c>
      <c r="T247">
        <v>1101</v>
      </c>
      <c r="U247">
        <v>757</v>
      </c>
      <c r="V247">
        <v>23</v>
      </c>
      <c r="W247">
        <v>36</v>
      </c>
      <c r="X247">
        <v>117</v>
      </c>
      <c r="Y247">
        <v>3</v>
      </c>
      <c r="Z247" s="195">
        <v>21679000</v>
      </c>
      <c r="AA247" s="195">
        <v>21482000</v>
      </c>
      <c r="AD247" s="139" t="s">
        <v>515</v>
      </c>
    </row>
    <row r="248" spans="1:30" x14ac:dyDescent="0.2">
      <c r="A248" t="s">
        <v>692</v>
      </c>
      <c r="B248" s="194"/>
      <c r="C248" s="139" t="s">
        <v>275</v>
      </c>
      <c r="D248" s="194">
        <v>22473936.91482199</v>
      </c>
      <c r="E248" s="194">
        <v>2142831</v>
      </c>
      <c r="F248" s="195">
        <v>17523857</v>
      </c>
      <c r="G248" s="195">
        <v>426752.3</v>
      </c>
      <c r="H248" s="195">
        <v>4217632</v>
      </c>
      <c r="I248" s="195">
        <v>7375094.5131202126</v>
      </c>
      <c r="J248" s="195">
        <v>836</v>
      </c>
      <c r="K248" s="195">
        <v>4282</v>
      </c>
      <c r="L248" s="195">
        <v>120</v>
      </c>
      <c r="M248" s="195">
        <v>487</v>
      </c>
      <c r="N248" s="195">
        <v>0</v>
      </c>
      <c r="O248" s="195">
        <v>0</v>
      </c>
      <c r="P248" s="195">
        <v>0</v>
      </c>
      <c r="Q248">
        <v>0</v>
      </c>
      <c r="R248">
        <v>18</v>
      </c>
      <c r="S248">
        <v>0</v>
      </c>
      <c r="T248">
        <v>2400</v>
      </c>
      <c r="U248">
        <v>2000</v>
      </c>
      <c r="V248">
        <v>0</v>
      </c>
      <c r="W248">
        <v>350</v>
      </c>
      <c r="X248">
        <v>456</v>
      </c>
      <c r="Y248">
        <v>7</v>
      </c>
      <c r="Z248" s="195">
        <v>66232000</v>
      </c>
      <c r="AA248" s="195">
        <v>67555000</v>
      </c>
      <c r="AD248" s="139" t="s">
        <v>275</v>
      </c>
    </row>
    <row r="249" spans="1:30" x14ac:dyDescent="0.2">
      <c r="A249" t="s">
        <v>690</v>
      </c>
      <c r="B249" s="194"/>
      <c r="C249" s="139" t="s">
        <v>474</v>
      </c>
      <c r="D249" s="194">
        <v>42612486.372978568</v>
      </c>
      <c r="E249" s="194">
        <v>4209532</v>
      </c>
      <c r="F249" s="195">
        <v>24119144</v>
      </c>
      <c r="G249" s="195">
        <v>878659.4</v>
      </c>
      <c r="H249" s="195">
        <v>14788437</v>
      </c>
      <c r="I249" s="195">
        <v>6827825.9595192112</v>
      </c>
      <c r="J249" s="195">
        <v>2144</v>
      </c>
      <c r="K249" s="195">
        <v>9140</v>
      </c>
      <c r="L249" s="195">
        <v>307</v>
      </c>
      <c r="M249" s="195">
        <v>178</v>
      </c>
      <c r="N249" s="195">
        <v>116</v>
      </c>
      <c r="O249" s="195">
        <v>0</v>
      </c>
      <c r="P249" s="195">
        <v>0</v>
      </c>
      <c r="Q249">
        <v>2075</v>
      </c>
      <c r="R249">
        <v>103</v>
      </c>
      <c r="S249">
        <v>0</v>
      </c>
      <c r="T249">
        <v>6439</v>
      </c>
      <c r="U249">
        <v>4875</v>
      </c>
      <c r="V249">
        <v>0</v>
      </c>
      <c r="W249">
        <v>894</v>
      </c>
      <c r="X249">
        <v>1087</v>
      </c>
      <c r="Y249">
        <v>61</v>
      </c>
      <c r="Z249" s="195">
        <v>142979000</v>
      </c>
      <c r="AA249" s="195">
        <v>145646000</v>
      </c>
      <c r="AD249" s="139" t="s">
        <v>474</v>
      </c>
    </row>
    <row r="250" spans="1:30" x14ac:dyDescent="0.2">
      <c r="A250" t="s">
        <v>693</v>
      </c>
      <c r="B250" s="194"/>
      <c r="C250" s="139" t="s">
        <v>209</v>
      </c>
      <c r="D250" s="194">
        <v>22658486.301751368</v>
      </c>
      <c r="E250" s="194">
        <v>2290040</v>
      </c>
      <c r="F250" s="195">
        <v>14375042</v>
      </c>
      <c r="G250" s="195">
        <v>625107.9</v>
      </c>
      <c r="H250" s="195">
        <v>8243363</v>
      </c>
      <c r="I250" s="195">
        <v>4985651.1143767443</v>
      </c>
      <c r="J250" s="195">
        <v>236</v>
      </c>
      <c r="K250" s="195">
        <v>2568</v>
      </c>
      <c r="L250" s="195">
        <v>0</v>
      </c>
      <c r="M250" s="195">
        <v>253</v>
      </c>
      <c r="N250" s="195">
        <v>43</v>
      </c>
      <c r="O250" s="195">
        <v>73</v>
      </c>
      <c r="P250" s="195">
        <v>77</v>
      </c>
      <c r="Q250">
        <v>0</v>
      </c>
      <c r="R250">
        <v>1727</v>
      </c>
      <c r="S250">
        <v>0</v>
      </c>
      <c r="T250">
        <v>2892</v>
      </c>
      <c r="U250">
        <v>2246</v>
      </c>
      <c r="V250">
        <v>0</v>
      </c>
      <c r="W250">
        <v>360</v>
      </c>
      <c r="X250">
        <v>407</v>
      </c>
      <c r="Y250">
        <v>0</v>
      </c>
      <c r="Z250" s="195">
        <v>63300000</v>
      </c>
      <c r="AA250" s="195">
        <v>49855000</v>
      </c>
      <c r="AD250" s="139" t="s">
        <v>209</v>
      </c>
    </row>
    <row r="251" spans="1:30" x14ac:dyDescent="0.2">
      <c r="A251" t="s">
        <v>691</v>
      </c>
      <c r="B251" s="194"/>
      <c r="C251" s="139" t="s">
        <v>348</v>
      </c>
      <c r="D251" s="194">
        <v>6746192.4856821373</v>
      </c>
      <c r="E251" s="194">
        <v>563873</v>
      </c>
      <c r="F251" s="195">
        <v>2300125</v>
      </c>
      <c r="G251" s="195">
        <v>124173.7</v>
      </c>
      <c r="H251" s="195">
        <v>1160134</v>
      </c>
      <c r="I251" s="195">
        <v>341101.06761182885</v>
      </c>
      <c r="J251" s="195">
        <v>189</v>
      </c>
      <c r="K251" s="195">
        <v>1559</v>
      </c>
      <c r="L251" s="195">
        <v>31</v>
      </c>
      <c r="M251" s="195">
        <v>70</v>
      </c>
      <c r="N251" s="195">
        <v>0</v>
      </c>
      <c r="O251" s="195">
        <v>0</v>
      </c>
      <c r="P251" s="195">
        <v>0</v>
      </c>
      <c r="Q251">
        <v>0</v>
      </c>
      <c r="R251">
        <v>337</v>
      </c>
      <c r="S251">
        <v>7</v>
      </c>
      <c r="T251">
        <v>1164</v>
      </c>
      <c r="U251">
        <v>1065</v>
      </c>
      <c r="V251">
        <v>145</v>
      </c>
      <c r="W251">
        <v>150</v>
      </c>
      <c r="X251">
        <v>169</v>
      </c>
      <c r="Y251">
        <v>2</v>
      </c>
      <c r="Z251" s="195">
        <v>17622000</v>
      </c>
      <c r="AA251" s="195">
        <v>17629000</v>
      </c>
      <c r="AD251" s="139" t="s">
        <v>348</v>
      </c>
    </row>
    <row r="252" spans="1:30" x14ac:dyDescent="0.2">
      <c r="A252" t="s">
        <v>691</v>
      </c>
      <c r="B252" s="194"/>
      <c r="C252" s="139" t="s">
        <v>349</v>
      </c>
      <c r="D252" s="194">
        <v>7971312.965770049</v>
      </c>
      <c r="E252" s="194">
        <v>685879</v>
      </c>
      <c r="F252" s="195">
        <v>3475105</v>
      </c>
      <c r="G252" s="195">
        <v>159055.44</v>
      </c>
      <c r="H252" s="195">
        <v>1488756</v>
      </c>
      <c r="I252" s="195">
        <v>451567.5307030789</v>
      </c>
      <c r="J252" s="195">
        <v>200</v>
      </c>
      <c r="K252" s="195">
        <v>1400</v>
      </c>
      <c r="L252" s="195">
        <v>17</v>
      </c>
      <c r="M252" s="195">
        <v>11</v>
      </c>
      <c r="N252" s="195">
        <v>0</v>
      </c>
      <c r="O252" s="195">
        <v>0</v>
      </c>
      <c r="P252" s="195">
        <v>48</v>
      </c>
      <c r="Q252">
        <v>0</v>
      </c>
      <c r="R252">
        <v>0</v>
      </c>
      <c r="S252">
        <v>0</v>
      </c>
      <c r="T252">
        <v>1119</v>
      </c>
      <c r="U252">
        <v>1354</v>
      </c>
      <c r="V252">
        <v>21</v>
      </c>
      <c r="W252">
        <v>134</v>
      </c>
      <c r="X252">
        <v>195</v>
      </c>
      <c r="Y252">
        <v>13</v>
      </c>
      <c r="Z252" s="195">
        <v>29311000</v>
      </c>
      <c r="AA252" s="195">
        <v>29827000</v>
      </c>
      <c r="AD252" s="139" t="s">
        <v>349</v>
      </c>
    </row>
    <row r="253" spans="1:30" x14ac:dyDescent="0.2">
      <c r="A253" t="s">
        <v>693</v>
      </c>
      <c r="B253" s="194"/>
      <c r="C253" s="139" t="s">
        <v>210</v>
      </c>
      <c r="D253" s="194">
        <v>24054581.467218921</v>
      </c>
      <c r="E253" s="194">
        <v>2256968</v>
      </c>
      <c r="F253" s="195">
        <v>15003757</v>
      </c>
      <c r="G253" s="195">
        <v>651627.97</v>
      </c>
      <c r="H253" s="195">
        <v>8487343</v>
      </c>
      <c r="I253" s="195">
        <v>4423834.942081864</v>
      </c>
      <c r="J253" s="195">
        <v>537</v>
      </c>
      <c r="K253" s="195">
        <v>3829</v>
      </c>
      <c r="L253" s="195">
        <v>0</v>
      </c>
      <c r="M253" s="195">
        <v>148</v>
      </c>
      <c r="N253" s="195">
        <v>0</v>
      </c>
      <c r="O253" s="195">
        <v>0</v>
      </c>
      <c r="P253" s="195">
        <v>0</v>
      </c>
      <c r="Q253">
        <v>0</v>
      </c>
      <c r="R253">
        <v>1700</v>
      </c>
      <c r="S253">
        <v>0</v>
      </c>
      <c r="T253">
        <v>2564</v>
      </c>
      <c r="U253">
        <v>2678</v>
      </c>
      <c r="V253">
        <v>220</v>
      </c>
      <c r="W253">
        <v>721</v>
      </c>
      <c r="X253">
        <v>394</v>
      </c>
      <c r="Y253">
        <v>0</v>
      </c>
      <c r="Z253" s="195">
        <v>74081000</v>
      </c>
      <c r="AA253" s="195">
        <v>74615000</v>
      </c>
      <c r="AD253" s="139" t="s">
        <v>210</v>
      </c>
    </row>
    <row r="254" spans="1:30" x14ac:dyDescent="0.2">
      <c r="A254" t="s">
        <v>690</v>
      </c>
      <c r="B254" s="194"/>
      <c r="C254" s="139" t="s">
        <v>475</v>
      </c>
      <c r="D254" s="194">
        <v>72818583.223713517</v>
      </c>
      <c r="E254" s="194">
        <v>6875080</v>
      </c>
      <c r="F254" s="195">
        <v>76646127</v>
      </c>
      <c r="G254" s="195">
        <v>5681749.0300000003</v>
      </c>
      <c r="H254" s="195">
        <v>23363838</v>
      </c>
      <c r="I254" s="195">
        <v>22747805.039966878</v>
      </c>
      <c r="J254" s="195">
        <v>2829</v>
      </c>
      <c r="K254" s="195">
        <v>13484</v>
      </c>
      <c r="L254" s="195">
        <v>524</v>
      </c>
      <c r="M254" s="195">
        <v>233</v>
      </c>
      <c r="N254" s="195">
        <v>210</v>
      </c>
      <c r="O254" s="195">
        <v>0</v>
      </c>
      <c r="P254" s="195">
        <v>0</v>
      </c>
      <c r="Q254">
        <v>2386</v>
      </c>
      <c r="R254">
        <v>69</v>
      </c>
      <c r="S254">
        <v>0</v>
      </c>
      <c r="T254">
        <v>7886</v>
      </c>
      <c r="U254">
        <v>9439</v>
      </c>
      <c r="V254">
        <v>239</v>
      </c>
      <c r="W254">
        <v>2756</v>
      </c>
      <c r="X254">
        <v>1495</v>
      </c>
      <c r="Y254">
        <v>103</v>
      </c>
      <c r="Z254" s="195">
        <v>246873000</v>
      </c>
      <c r="AA254" s="195">
        <v>242332000</v>
      </c>
      <c r="AD254" s="139" t="s">
        <v>475</v>
      </c>
    </row>
    <row r="255" spans="1:30" x14ac:dyDescent="0.2">
      <c r="A255" t="s">
        <v>694</v>
      </c>
      <c r="B255" s="194"/>
      <c r="C255" s="139" t="s">
        <v>400</v>
      </c>
      <c r="D255" s="194">
        <v>16934135.113302864</v>
      </c>
      <c r="E255" s="194">
        <v>1553658</v>
      </c>
      <c r="F255" s="195">
        <v>8062059</v>
      </c>
      <c r="G255" s="195">
        <v>266012.95999999996</v>
      </c>
      <c r="H255" s="195">
        <v>3327253</v>
      </c>
      <c r="I255" s="195">
        <v>1758464.5181137905</v>
      </c>
      <c r="J255" s="195">
        <v>1298</v>
      </c>
      <c r="K255" s="195">
        <v>4971</v>
      </c>
      <c r="L255" s="195">
        <v>170</v>
      </c>
      <c r="M255" s="195">
        <v>0</v>
      </c>
      <c r="N255" s="195">
        <v>103</v>
      </c>
      <c r="O255" s="195">
        <v>0</v>
      </c>
      <c r="P255" s="195">
        <v>0</v>
      </c>
      <c r="Q255">
        <v>610</v>
      </c>
      <c r="R255">
        <v>0</v>
      </c>
      <c r="S255">
        <v>8</v>
      </c>
      <c r="T255">
        <v>2099</v>
      </c>
      <c r="U255">
        <v>0</v>
      </c>
      <c r="V255">
        <v>283</v>
      </c>
      <c r="W255">
        <v>516</v>
      </c>
      <c r="X255">
        <v>426</v>
      </c>
      <c r="Y255">
        <v>38</v>
      </c>
      <c r="Z255" s="195">
        <v>52918000</v>
      </c>
      <c r="AA255" s="195">
        <v>54461000</v>
      </c>
      <c r="AD255" s="139" t="s">
        <v>400</v>
      </c>
    </row>
    <row r="256" spans="1:30" x14ac:dyDescent="0.2">
      <c r="A256" t="s">
        <v>692</v>
      </c>
      <c r="B256" s="194"/>
      <c r="C256" s="139" t="s">
        <v>276</v>
      </c>
      <c r="D256" s="194">
        <v>31184987.794498965</v>
      </c>
      <c r="E256" s="194">
        <v>3583603</v>
      </c>
      <c r="F256" s="195">
        <v>19855836</v>
      </c>
      <c r="G256" s="195">
        <v>617080.41999999993</v>
      </c>
      <c r="H256" s="195">
        <v>8516855</v>
      </c>
      <c r="I256" s="195">
        <v>6146080.909139147</v>
      </c>
      <c r="J256" s="195">
        <v>875</v>
      </c>
      <c r="K256" s="195">
        <v>6463</v>
      </c>
      <c r="L256" s="195">
        <v>0</v>
      </c>
      <c r="M256" s="195">
        <v>143</v>
      </c>
      <c r="N256" s="195">
        <v>0</v>
      </c>
      <c r="O256" s="195">
        <v>0</v>
      </c>
      <c r="P256" s="195">
        <v>0</v>
      </c>
      <c r="Q256">
        <v>0</v>
      </c>
      <c r="R256">
        <v>6</v>
      </c>
      <c r="S256">
        <v>0</v>
      </c>
      <c r="T256">
        <v>4183</v>
      </c>
      <c r="U256">
        <v>2818</v>
      </c>
      <c r="V256">
        <v>125</v>
      </c>
      <c r="W256">
        <v>420</v>
      </c>
      <c r="X256">
        <v>637</v>
      </c>
      <c r="Y256">
        <v>25</v>
      </c>
      <c r="Z256" s="195">
        <v>89704000</v>
      </c>
      <c r="AA256" s="195">
        <v>89481000</v>
      </c>
      <c r="AD256" s="139" t="s">
        <v>276</v>
      </c>
    </row>
    <row r="257" spans="1:30" x14ac:dyDescent="0.2">
      <c r="A257" t="s">
        <v>691</v>
      </c>
      <c r="B257" s="194"/>
      <c r="C257" s="139" t="s">
        <v>350</v>
      </c>
      <c r="D257" s="194">
        <v>9305300.00128006</v>
      </c>
      <c r="E257" s="194">
        <v>740807</v>
      </c>
      <c r="F257" s="195">
        <v>3087034</v>
      </c>
      <c r="G257" s="195">
        <v>205649.44</v>
      </c>
      <c r="H257" s="195">
        <v>2186055</v>
      </c>
      <c r="I257" s="195">
        <v>423261.01333003398</v>
      </c>
      <c r="J257" s="195">
        <v>985</v>
      </c>
      <c r="K257" s="195">
        <v>3008</v>
      </c>
      <c r="L257" s="195">
        <v>29</v>
      </c>
      <c r="M257" s="195">
        <v>215</v>
      </c>
      <c r="N257" s="195">
        <v>0</v>
      </c>
      <c r="O257" s="195">
        <v>0</v>
      </c>
      <c r="P257" s="195">
        <v>40</v>
      </c>
      <c r="Q257">
        <v>466</v>
      </c>
      <c r="R257">
        <v>0</v>
      </c>
      <c r="S257">
        <v>7</v>
      </c>
      <c r="T257">
        <v>1645</v>
      </c>
      <c r="U257">
        <v>1008</v>
      </c>
      <c r="V257">
        <v>197</v>
      </c>
      <c r="W257">
        <v>645</v>
      </c>
      <c r="X257">
        <v>304</v>
      </c>
      <c r="Y257">
        <v>0</v>
      </c>
      <c r="Z257" s="195">
        <v>25943000</v>
      </c>
      <c r="AA257" s="195">
        <v>26409000</v>
      </c>
      <c r="AD257" s="139" t="s">
        <v>350</v>
      </c>
    </row>
    <row r="258" spans="1:30" x14ac:dyDescent="0.2">
      <c r="A258" t="s">
        <v>697</v>
      </c>
      <c r="B258" s="194"/>
      <c r="C258" s="139" t="s">
        <v>306</v>
      </c>
      <c r="D258" s="194">
        <v>7665731.2312555388</v>
      </c>
      <c r="E258" s="194">
        <v>584885</v>
      </c>
      <c r="F258" s="195">
        <v>2716877</v>
      </c>
      <c r="G258" s="195">
        <v>159239.67999999999</v>
      </c>
      <c r="H258" s="195">
        <v>1061082</v>
      </c>
      <c r="I258" s="195">
        <v>605078.43892803846</v>
      </c>
      <c r="J258" s="195">
        <v>252</v>
      </c>
      <c r="K258" s="195">
        <v>1721</v>
      </c>
      <c r="L258" s="195">
        <v>42</v>
      </c>
      <c r="M258" s="195">
        <v>11</v>
      </c>
      <c r="N258" s="195">
        <v>0</v>
      </c>
      <c r="O258" s="195">
        <v>0</v>
      </c>
      <c r="P258" s="195">
        <v>0</v>
      </c>
      <c r="Q258">
        <v>0</v>
      </c>
      <c r="R258">
        <v>10</v>
      </c>
      <c r="S258">
        <v>0</v>
      </c>
      <c r="T258">
        <v>985</v>
      </c>
      <c r="U258">
        <v>750</v>
      </c>
      <c r="V258">
        <v>3</v>
      </c>
      <c r="W258">
        <v>269</v>
      </c>
      <c r="X258">
        <v>151</v>
      </c>
      <c r="Y258">
        <v>24</v>
      </c>
      <c r="Z258" s="195">
        <v>23039000</v>
      </c>
      <c r="AA258" s="195">
        <v>21391000</v>
      </c>
      <c r="AD258" s="139" t="s">
        <v>306</v>
      </c>
    </row>
    <row r="259" spans="1:30" x14ac:dyDescent="0.2">
      <c r="A259" t="s">
        <v>692</v>
      </c>
      <c r="B259" s="194"/>
      <c r="C259" s="139" t="s">
        <v>277</v>
      </c>
      <c r="D259" s="194">
        <v>31774544.147285908</v>
      </c>
      <c r="E259" s="194">
        <v>2765387</v>
      </c>
      <c r="F259" s="195">
        <v>20443754</v>
      </c>
      <c r="G259" s="195">
        <v>631307.22</v>
      </c>
      <c r="H259" s="195">
        <v>8127142</v>
      </c>
      <c r="I259" s="195">
        <v>4954931.8561985046</v>
      </c>
      <c r="J259" s="195">
        <v>847</v>
      </c>
      <c r="K259" s="195">
        <v>5876</v>
      </c>
      <c r="L259" s="195">
        <v>278</v>
      </c>
      <c r="M259" s="195">
        <v>0</v>
      </c>
      <c r="N259" s="195">
        <v>75</v>
      </c>
      <c r="O259" s="195">
        <v>0</v>
      </c>
      <c r="P259" s="195">
        <v>0</v>
      </c>
      <c r="Q259">
        <v>0</v>
      </c>
      <c r="R259">
        <v>833</v>
      </c>
      <c r="S259">
        <v>0</v>
      </c>
      <c r="T259">
        <v>3202</v>
      </c>
      <c r="U259">
        <v>3723</v>
      </c>
      <c r="V259">
        <v>70</v>
      </c>
      <c r="W259">
        <v>718</v>
      </c>
      <c r="X259">
        <v>763</v>
      </c>
      <c r="Y259">
        <v>36</v>
      </c>
      <c r="Z259" s="195">
        <v>90107000</v>
      </c>
      <c r="AA259" s="195">
        <v>90209000</v>
      </c>
      <c r="AD259" s="139" t="s">
        <v>277</v>
      </c>
    </row>
    <row r="260" spans="1:30" x14ac:dyDescent="0.2">
      <c r="A260" t="s">
        <v>694</v>
      </c>
      <c r="B260" s="194"/>
      <c r="C260" s="139" t="s">
        <v>401</v>
      </c>
      <c r="D260" s="194">
        <v>25621254.844401695</v>
      </c>
      <c r="E260" s="194">
        <v>2267402</v>
      </c>
      <c r="F260" s="195">
        <v>11818426</v>
      </c>
      <c r="G260" s="195">
        <v>367017.1</v>
      </c>
      <c r="H260" s="195">
        <v>6524430</v>
      </c>
      <c r="I260" s="195">
        <v>2734306.7981195725</v>
      </c>
      <c r="J260" s="195">
        <v>836</v>
      </c>
      <c r="K260" s="195">
        <v>4690</v>
      </c>
      <c r="L260" s="195">
        <v>151</v>
      </c>
      <c r="M260" s="195">
        <v>0</v>
      </c>
      <c r="N260" s="195">
        <v>0</v>
      </c>
      <c r="O260" s="195">
        <v>0</v>
      </c>
      <c r="P260" s="195">
        <v>0</v>
      </c>
      <c r="Q260">
        <v>713</v>
      </c>
      <c r="R260">
        <v>0</v>
      </c>
      <c r="S260">
        <v>0</v>
      </c>
      <c r="T260">
        <v>3939</v>
      </c>
      <c r="U260">
        <v>3291</v>
      </c>
      <c r="V260">
        <v>427</v>
      </c>
      <c r="W260">
        <v>509</v>
      </c>
      <c r="X260">
        <v>526</v>
      </c>
      <c r="Y260">
        <v>27</v>
      </c>
      <c r="Z260" s="195">
        <v>82709000</v>
      </c>
      <c r="AA260" s="195">
        <v>84152000</v>
      </c>
      <c r="AD260" s="139" t="s">
        <v>401</v>
      </c>
    </row>
    <row r="261" spans="1:30" x14ac:dyDescent="0.2">
      <c r="A261" t="s">
        <v>699</v>
      </c>
      <c r="B261" s="194"/>
      <c r="C261" s="139" t="s">
        <v>516</v>
      </c>
      <c r="D261" s="194">
        <v>30183171.090230383</v>
      </c>
      <c r="E261" s="194">
        <v>3002390</v>
      </c>
      <c r="F261" s="195">
        <v>18677864</v>
      </c>
      <c r="G261" s="195">
        <v>625345.62</v>
      </c>
      <c r="H261" s="195">
        <v>6327675</v>
      </c>
      <c r="I261" s="195">
        <v>6780416.1067720419</v>
      </c>
      <c r="J261" s="195">
        <v>1137</v>
      </c>
      <c r="K261" s="195">
        <v>5665</v>
      </c>
      <c r="L261" s="195">
        <v>0</v>
      </c>
      <c r="M261" s="195">
        <v>662</v>
      </c>
      <c r="N261" s="195">
        <v>0</v>
      </c>
      <c r="O261" s="195">
        <v>0</v>
      </c>
      <c r="P261" s="195">
        <v>29</v>
      </c>
      <c r="Q261">
        <v>0</v>
      </c>
      <c r="R261">
        <v>0</v>
      </c>
      <c r="S261">
        <v>0</v>
      </c>
      <c r="T261">
        <v>5175</v>
      </c>
      <c r="U261">
        <v>3411</v>
      </c>
      <c r="V261">
        <v>60</v>
      </c>
      <c r="W261">
        <v>555</v>
      </c>
      <c r="X261">
        <v>729</v>
      </c>
      <c r="Y261">
        <v>15</v>
      </c>
      <c r="Z261" s="195">
        <v>84359000</v>
      </c>
      <c r="AA261" s="195">
        <v>85703000</v>
      </c>
      <c r="AD261" s="139" t="s">
        <v>516</v>
      </c>
    </row>
    <row r="262" spans="1:30" x14ac:dyDescent="0.2">
      <c r="A262" t="s">
        <v>698</v>
      </c>
      <c r="B262" s="194"/>
      <c r="C262" s="139" t="s">
        <v>189</v>
      </c>
      <c r="D262" s="194">
        <v>11793004.784648426</v>
      </c>
      <c r="E262" s="194">
        <v>1365582</v>
      </c>
      <c r="F262" s="195">
        <v>13685644</v>
      </c>
      <c r="G262" s="195">
        <v>280968.92</v>
      </c>
      <c r="H262" s="195">
        <v>6579861</v>
      </c>
      <c r="I262" s="195">
        <v>6890879.0183258997</v>
      </c>
      <c r="J262" s="195">
        <v>220</v>
      </c>
      <c r="K262" s="195">
        <v>1941</v>
      </c>
      <c r="L262" s="195">
        <v>97</v>
      </c>
      <c r="M262" s="195">
        <v>0</v>
      </c>
      <c r="N262" s="195">
        <v>0</v>
      </c>
      <c r="O262" s="195">
        <v>0</v>
      </c>
      <c r="P262" s="195">
        <v>0</v>
      </c>
      <c r="Q262">
        <v>0</v>
      </c>
      <c r="R262">
        <v>0</v>
      </c>
      <c r="S262">
        <v>0</v>
      </c>
      <c r="T262">
        <v>1084</v>
      </c>
      <c r="U262">
        <v>1379</v>
      </c>
      <c r="V262">
        <v>33</v>
      </c>
      <c r="W262">
        <v>150</v>
      </c>
      <c r="X262">
        <v>180</v>
      </c>
      <c r="Y262">
        <v>0</v>
      </c>
      <c r="Z262" s="195">
        <v>41602000</v>
      </c>
      <c r="AA262" s="195">
        <v>41979000</v>
      </c>
      <c r="AD262" s="139" t="s">
        <v>189</v>
      </c>
    </row>
    <row r="263" spans="1:30" x14ac:dyDescent="0.2">
      <c r="A263" t="s">
        <v>694</v>
      </c>
      <c r="B263" s="194"/>
      <c r="C263" s="139" t="s">
        <v>402</v>
      </c>
      <c r="D263" s="194">
        <v>33594680.861162968</v>
      </c>
      <c r="E263" s="194">
        <v>2220734</v>
      </c>
      <c r="F263" s="195">
        <v>15429418</v>
      </c>
      <c r="G263" s="195">
        <v>597411.76</v>
      </c>
      <c r="H263" s="195">
        <v>6176201</v>
      </c>
      <c r="I263" s="195">
        <v>2106235.5531062572</v>
      </c>
      <c r="J263" s="195">
        <v>1299</v>
      </c>
      <c r="K263" s="195">
        <v>7947</v>
      </c>
      <c r="L263" s="195">
        <v>166</v>
      </c>
      <c r="M263" s="195">
        <v>140</v>
      </c>
      <c r="N263" s="195">
        <v>0</v>
      </c>
      <c r="O263" s="195">
        <v>0</v>
      </c>
      <c r="P263" s="195">
        <v>0</v>
      </c>
      <c r="Q263">
        <v>0</v>
      </c>
      <c r="R263">
        <v>300</v>
      </c>
      <c r="S263">
        <v>0</v>
      </c>
      <c r="T263">
        <v>4730</v>
      </c>
      <c r="U263">
        <v>5473</v>
      </c>
      <c r="V263">
        <v>0</v>
      </c>
      <c r="W263">
        <v>1093</v>
      </c>
      <c r="X263">
        <v>854</v>
      </c>
      <c r="Y263">
        <v>51</v>
      </c>
      <c r="Z263" s="195">
        <v>114414000</v>
      </c>
      <c r="AA263" s="195">
        <v>121940000</v>
      </c>
      <c r="AD263" s="139" t="s">
        <v>402</v>
      </c>
    </row>
    <row r="264" spans="1:30" x14ac:dyDescent="0.2">
      <c r="A264" t="s">
        <v>691</v>
      </c>
      <c r="B264" s="194"/>
      <c r="C264" s="139" t="s">
        <v>351</v>
      </c>
      <c r="D264" s="194">
        <v>68348377.460266203</v>
      </c>
      <c r="E264" s="194">
        <v>6472791</v>
      </c>
      <c r="F264" s="195">
        <v>42409518</v>
      </c>
      <c r="G264" s="195">
        <v>2499238.7800000003</v>
      </c>
      <c r="H264" s="195">
        <v>22178609</v>
      </c>
      <c r="I264" s="195">
        <v>8459257.9495224897</v>
      </c>
      <c r="J264" s="195">
        <v>1942</v>
      </c>
      <c r="K264" s="195">
        <v>10408</v>
      </c>
      <c r="L264" s="195">
        <v>379</v>
      </c>
      <c r="M264" s="195">
        <v>0</v>
      </c>
      <c r="N264" s="195">
        <v>0</v>
      </c>
      <c r="O264" s="195">
        <v>0</v>
      </c>
      <c r="P264" s="195">
        <v>0</v>
      </c>
      <c r="Q264">
        <v>2315</v>
      </c>
      <c r="R264">
        <v>231</v>
      </c>
      <c r="S264">
        <v>11</v>
      </c>
      <c r="T264">
        <v>6896</v>
      </c>
      <c r="U264">
        <v>11704</v>
      </c>
      <c r="V264">
        <v>265</v>
      </c>
      <c r="W264">
        <v>1296</v>
      </c>
      <c r="X264">
        <v>1499</v>
      </c>
      <c r="Y264">
        <v>189</v>
      </c>
      <c r="Z264" s="195">
        <v>217832000</v>
      </c>
      <c r="AA264" s="195">
        <v>219794000</v>
      </c>
      <c r="AD264" s="139" t="s">
        <v>351</v>
      </c>
    </row>
    <row r="265" spans="1:30" x14ac:dyDescent="0.2">
      <c r="A265" t="s">
        <v>692</v>
      </c>
      <c r="B265" s="194"/>
      <c r="C265" s="139" t="s">
        <v>278</v>
      </c>
      <c r="D265" s="194">
        <v>16561504.564140495</v>
      </c>
      <c r="E265" s="194">
        <v>1691162</v>
      </c>
      <c r="F265" s="195">
        <v>9357224</v>
      </c>
      <c r="G265" s="195">
        <v>384218.98</v>
      </c>
      <c r="H265" s="195">
        <v>3109952</v>
      </c>
      <c r="I265" s="195">
        <v>2175519.291014771</v>
      </c>
      <c r="J265" s="195">
        <v>499</v>
      </c>
      <c r="K265" s="195">
        <v>2838</v>
      </c>
      <c r="L265" s="195">
        <v>0</v>
      </c>
      <c r="M265" s="195">
        <v>400</v>
      </c>
      <c r="N265" s="195">
        <v>95</v>
      </c>
      <c r="O265" s="195">
        <v>0</v>
      </c>
      <c r="P265" s="195">
        <v>336</v>
      </c>
      <c r="Q265">
        <v>0</v>
      </c>
      <c r="R265">
        <v>0</v>
      </c>
      <c r="S265">
        <v>0</v>
      </c>
      <c r="T265">
        <v>2389</v>
      </c>
      <c r="U265">
        <v>819</v>
      </c>
      <c r="V265">
        <v>538</v>
      </c>
      <c r="W265">
        <v>396</v>
      </c>
      <c r="X265">
        <v>401</v>
      </c>
      <c r="Y265">
        <v>56</v>
      </c>
      <c r="Z265" s="195">
        <v>48202000</v>
      </c>
      <c r="AA265" s="195">
        <v>49197000</v>
      </c>
      <c r="AD265" s="139" t="s">
        <v>278</v>
      </c>
    </row>
    <row r="266" spans="1:30" x14ac:dyDescent="0.2">
      <c r="A266" t="s">
        <v>695</v>
      </c>
      <c r="B266" s="194"/>
      <c r="C266" s="139" t="s">
        <v>232</v>
      </c>
      <c r="D266" s="194">
        <v>26859453.821976088</v>
      </c>
      <c r="E266" s="194">
        <v>2636787</v>
      </c>
      <c r="F266" s="195">
        <v>15429854</v>
      </c>
      <c r="G266" s="195">
        <v>552501.17999999993</v>
      </c>
      <c r="H266" s="195">
        <v>5707678</v>
      </c>
      <c r="I266" s="195">
        <v>4854859.1736288033</v>
      </c>
      <c r="J266" s="195">
        <v>1102</v>
      </c>
      <c r="K266" s="195">
        <v>6278</v>
      </c>
      <c r="L266" s="195">
        <v>0</v>
      </c>
      <c r="M266" s="195">
        <v>207</v>
      </c>
      <c r="N266" s="195">
        <v>0</v>
      </c>
      <c r="O266" s="195">
        <v>3</v>
      </c>
      <c r="P266" s="195">
        <v>90</v>
      </c>
      <c r="Q266">
        <v>416</v>
      </c>
      <c r="R266">
        <v>34</v>
      </c>
      <c r="S266">
        <v>0</v>
      </c>
      <c r="T266">
        <v>3156</v>
      </c>
      <c r="U266">
        <v>2710</v>
      </c>
      <c r="V266">
        <v>172</v>
      </c>
      <c r="W266">
        <v>1100</v>
      </c>
      <c r="X266">
        <v>599</v>
      </c>
      <c r="Y266">
        <v>96</v>
      </c>
      <c r="Z266" s="195">
        <v>78018000</v>
      </c>
      <c r="AA266" s="195">
        <v>78164000</v>
      </c>
      <c r="AD266" s="139" t="s">
        <v>232</v>
      </c>
    </row>
    <row r="267" spans="1:30" x14ac:dyDescent="0.2">
      <c r="A267" t="s">
        <v>701</v>
      </c>
      <c r="B267" s="194"/>
      <c r="C267" s="139" t="s">
        <v>427</v>
      </c>
      <c r="D267" s="194">
        <v>16932322.248085164</v>
      </c>
      <c r="E267" s="194">
        <v>1506955</v>
      </c>
      <c r="F267" s="195">
        <v>8414193</v>
      </c>
      <c r="G267" s="195">
        <v>428622.04</v>
      </c>
      <c r="H267" s="195">
        <v>3066169</v>
      </c>
      <c r="I267" s="195">
        <v>1649132.8178280168</v>
      </c>
      <c r="J267" s="195">
        <v>538</v>
      </c>
      <c r="K267" s="195">
        <v>2648</v>
      </c>
      <c r="L267" s="195">
        <v>106</v>
      </c>
      <c r="M267" s="195">
        <v>30</v>
      </c>
      <c r="N267" s="195">
        <v>0</v>
      </c>
      <c r="O267" s="195">
        <v>0</v>
      </c>
      <c r="P267" s="195">
        <v>2</v>
      </c>
      <c r="Q267">
        <v>0</v>
      </c>
      <c r="R267">
        <v>600</v>
      </c>
      <c r="S267">
        <v>0</v>
      </c>
      <c r="T267">
        <v>2210</v>
      </c>
      <c r="U267">
        <v>2501</v>
      </c>
      <c r="V267">
        <v>511</v>
      </c>
      <c r="W267">
        <v>604</v>
      </c>
      <c r="X267">
        <v>281</v>
      </c>
      <c r="Y267">
        <v>17</v>
      </c>
      <c r="Z267" s="195">
        <v>46887000</v>
      </c>
      <c r="AA267" s="195">
        <v>46634000</v>
      </c>
      <c r="AD267" s="139" t="s">
        <v>427</v>
      </c>
    </row>
    <row r="268" spans="1:30" x14ac:dyDescent="0.2">
      <c r="A268" t="s">
        <v>692</v>
      </c>
      <c r="B268" s="194"/>
      <c r="C268" s="139" t="s">
        <v>279</v>
      </c>
      <c r="D268" s="194">
        <v>22878141.142893143</v>
      </c>
      <c r="E268" s="194">
        <v>2733792</v>
      </c>
      <c r="F268" s="195">
        <v>17094546</v>
      </c>
      <c r="G268" s="195">
        <v>376419.48</v>
      </c>
      <c r="H268" s="195">
        <v>7281574</v>
      </c>
      <c r="I268" s="195">
        <v>3552326.0476868353</v>
      </c>
      <c r="J268" s="195">
        <v>856</v>
      </c>
      <c r="K268" s="195">
        <v>5411</v>
      </c>
      <c r="L268" s="195">
        <v>195</v>
      </c>
      <c r="M268" s="195">
        <v>349</v>
      </c>
      <c r="N268" s="195">
        <v>0</v>
      </c>
      <c r="O268" s="195">
        <v>0</v>
      </c>
      <c r="P268" s="195">
        <v>0</v>
      </c>
      <c r="Q268">
        <v>0</v>
      </c>
      <c r="R268">
        <v>10</v>
      </c>
      <c r="S268">
        <v>10</v>
      </c>
      <c r="T268">
        <v>3257</v>
      </c>
      <c r="U268">
        <v>3408</v>
      </c>
      <c r="V268">
        <v>277</v>
      </c>
      <c r="W268">
        <v>371</v>
      </c>
      <c r="X268">
        <v>507</v>
      </c>
      <c r="Y268">
        <v>31</v>
      </c>
      <c r="Z268" s="195">
        <v>75995000</v>
      </c>
      <c r="AA268" s="195">
        <v>78124000</v>
      </c>
      <c r="AD268" s="139" t="s">
        <v>279</v>
      </c>
    </row>
    <row r="269" spans="1:30" x14ac:dyDescent="0.2">
      <c r="A269" t="s">
        <v>697</v>
      </c>
      <c r="B269" s="194"/>
      <c r="C269" s="139" t="s">
        <v>307</v>
      </c>
      <c r="D269" s="194">
        <v>3305299.4358492112</v>
      </c>
      <c r="E269" s="194">
        <v>215241</v>
      </c>
      <c r="F269" s="195">
        <v>1610890</v>
      </c>
      <c r="G269" s="195">
        <v>35922.5</v>
      </c>
      <c r="H269" s="195">
        <v>450528</v>
      </c>
      <c r="I269" s="195">
        <v>315720.27301208494</v>
      </c>
      <c r="J269" s="195">
        <v>150</v>
      </c>
      <c r="K269" s="195">
        <v>595</v>
      </c>
      <c r="L269" s="195">
        <v>0</v>
      </c>
      <c r="M269" s="195">
        <v>34</v>
      </c>
      <c r="N269" s="195">
        <v>0</v>
      </c>
      <c r="O269" s="195">
        <v>0</v>
      </c>
      <c r="P269" s="195">
        <v>0</v>
      </c>
      <c r="Q269">
        <v>0</v>
      </c>
      <c r="R269">
        <v>348</v>
      </c>
      <c r="S269">
        <v>0</v>
      </c>
      <c r="T269">
        <v>556</v>
      </c>
      <c r="U269">
        <v>400</v>
      </c>
      <c r="V269">
        <v>21</v>
      </c>
      <c r="W269">
        <v>140</v>
      </c>
      <c r="X269">
        <v>77</v>
      </c>
      <c r="Y269">
        <v>0</v>
      </c>
      <c r="Z269" s="195">
        <v>13041000</v>
      </c>
      <c r="AA269" s="195">
        <v>13278000</v>
      </c>
      <c r="AD269" s="139" t="s">
        <v>307</v>
      </c>
    </row>
    <row r="270" spans="1:30" x14ac:dyDescent="0.2">
      <c r="A270" t="s">
        <v>690</v>
      </c>
      <c r="B270" s="194"/>
      <c r="C270" s="139" t="s">
        <v>476</v>
      </c>
      <c r="D270" s="194">
        <v>8939363.5420676563</v>
      </c>
      <c r="E270" s="194">
        <v>800288</v>
      </c>
      <c r="F270" s="195">
        <v>6344734</v>
      </c>
      <c r="G270" s="195">
        <v>149062.38</v>
      </c>
      <c r="H270" s="195">
        <v>1110954</v>
      </c>
      <c r="I270" s="195">
        <v>3059227.5776237966</v>
      </c>
      <c r="J270" s="195">
        <v>319</v>
      </c>
      <c r="K270" s="195">
        <v>2135</v>
      </c>
      <c r="L270" s="195">
        <v>0</v>
      </c>
      <c r="M270" s="195">
        <v>111</v>
      </c>
      <c r="N270" s="195">
        <v>0</v>
      </c>
      <c r="O270" s="195">
        <v>0</v>
      </c>
      <c r="P270" s="195">
        <v>23</v>
      </c>
      <c r="Q270">
        <v>0</v>
      </c>
      <c r="R270">
        <v>0</v>
      </c>
      <c r="S270">
        <v>0</v>
      </c>
      <c r="T270">
        <v>1213</v>
      </c>
      <c r="U270">
        <v>837</v>
      </c>
      <c r="V270">
        <v>0</v>
      </c>
      <c r="W270">
        <v>198</v>
      </c>
      <c r="X270">
        <v>219</v>
      </c>
      <c r="Y270">
        <v>34</v>
      </c>
      <c r="Z270" s="195">
        <v>32304000</v>
      </c>
      <c r="AA270" s="195">
        <v>32304000</v>
      </c>
      <c r="AD270" s="139" t="s">
        <v>476</v>
      </c>
    </row>
    <row r="271" spans="1:30" x14ac:dyDescent="0.2">
      <c r="A271" t="s">
        <v>692</v>
      </c>
      <c r="B271" s="194"/>
      <c r="C271" s="139" t="s">
        <v>280</v>
      </c>
      <c r="D271" s="194">
        <v>35713176.330057763</v>
      </c>
      <c r="E271" s="194">
        <v>4414834</v>
      </c>
      <c r="F271" s="195">
        <v>24547086</v>
      </c>
      <c r="G271" s="195">
        <v>638730.34</v>
      </c>
      <c r="H271" s="195">
        <v>13079894</v>
      </c>
      <c r="I271" s="195">
        <v>8032967.4661899582</v>
      </c>
      <c r="J271" s="195">
        <v>1055</v>
      </c>
      <c r="K271" s="195">
        <v>6931</v>
      </c>
      <c r="L271" s="195">
        <v>221</v>
      </c>
      <c r="M271" s="195">
        <v>136</v>
      </c>
      <c r="N271" s="195">
        <v>0</v>
      </c>
      <c r="O271" s="195">
        <v>0</v>
      </c>
      <c r="P271" s="195">
        <v>40</v>
      </c>
      <c r="Q271">
        <v>138</v>
      </c>
      <c r="R271">
        <v>0</v>
      </c>
      <c r="S271">
        <v>6</v>
      </c>
      <c r="T271">
        <v>4330</v>
      </c>
      <c r="U271">
        <v>3048</v>
      </c>
      <c r="V271">
        <v>504</v>
      </c>
      <c r="W271">
        <v>741</v>
      </c>
      <c r="X271">
        <v>765</v>
      </c>
      <c r="Y271">
        <v>19</v>
      </c>
      <c r="Z271" s="195">
        <v>105378000</v>
      </c>
      <c r="AA271" s="195">
        <v>107138000</v>
      </c>
      <c r="AD271" s="139" t="s">
        <v>280</v>
      </c>
    </row>
    <row r="272" spans="1:30" x14ac:dyDescent="0.2">
      <c r="A272" t="s">
        <v>697</v>
      </c>
      <c r="B272" s="194"/>
      <c r="C272" s="139" t="s">
        <v>308</v>
      </c>
      <c r="D272" s="194">
        <v>13612179.116591439</v>
      </c>
      <c r="E272" s="194">
        <v>1380393</v>
      </c>
      <c r="F272" s="195">
        <v>7421610</v>
      </c>
      <c r="G272" s="195">
        <v>244945.04</v>
      </c>
      <c r="H272" s="195">
        <v>3906339</v>
      </c>
      <c r="I272" s="195">
        <v>2072312.6120626398</v>
      </c>
      <c r="J272" s="195">
        <v>426</v>
      </c>
      <c r="K272" s="195">
        <v>3486</v>
      </c>
      <c r="L272" s="195">
        <v>162</v>
      </c>
      <c r="M272" s="195">
        <v>101</v>
      </c>
      <c r="N272" s="195">
        <v>50</v>
      </c>
      <c r="O272" s="195">
        <v>0</v>
      </c>
      <c r="P272" s="195">
        <v>0</v>
      </c>
      <c r="Q272">
        <v>0</v>
      </c>
      <c r="R272">
        <v>1134</v>
      </c>
      <c r="S272">
        <v>0</v>
      </c>
      <c r="T272">
        <v>1598</v>
      </c>
      <c r="U272">
        <v>1262</v>
      </c>
      <c r="V272">
        <v>503</v>
      </c>
      <c r="W272">
        <v>464</v>
      </c>
      <c r="X272">
        <v>292</v>
      </c>
      <c r="Y272">
        <v>12</v>
      </c>
      <c r="Z272" s="195">
        <v>40332021</v>
      </c>
      <c r="AA272" s="195">
        <v>40235023</v>
      </c>
      <c r="AD272" s="139" t="s">
        <v>308</v>
      </c>
    </row>
    <row r="273" spans="1:30" x14ac:dyDescent="0.2">
      <c r="A273" t="s">
        <v>694</v>
      </c>
      <c r="B273" s="194"/>
      <c r="C273" s="139" t="s">
        <v>403</v>
      </c>
      <c r="D273" s="194">
        <v>35576709.792037465</v>
      </c>
      <c r="E273" s="194">
        <v>4116739</v>
      </c>
      <c r="F273" s="195">
        <v>16064341</v>
      </c>
      <c r="G273" s="195">
        <v>507258.86</v>
      </c>
      <c r="H273" s="195">
        <v>10573357</v>
      </c>
      <c r="I273" s="195">
        <v>4175561.8372502471</v>
      </c>
      <c r="J273" s="195">
        <v>1420</v>
      </c>
      <c r="K273" s="195">
        <v>6769</v>
      </c>
      <c r="L273" s="195">
        <v>0</v>
      </c>
      <c r="M273" s="195">
        <v>0</v>
      </c>
      <c r="N273" s="195">
        <v>0</v>
      </c>
      <c r="O273" s="195">
        <v>3</v>
      </c>
      <c r="P273" s="195">
        <v>0</v>
      </c>
      <c r="Q273">
        <v>491</v>
      </c>
      <c r="R273">
        <v>92</v>
      </c>
      <c r="S273">
        <v>0</v>
      </c>
      <c r="T273">
        <v>3893</v>
      </c>
      <c r="U273">
        <v>4862</v>
      </c>
      <c r="V273">
        <v>687</v>
      </c>
      <c r="W273">
        <v>906</v>
      </c>
      <c r="X273">
        <v>724</v>
      </c>
      <c r="Y273">
        <v>47</v>
      </c>
      <c r="Z273" s="195">
        <v>109417000</v>
      </c>
      <c r="AA273" s="195">
        <v>111609000</v>
      </c>
      <c r="AD273" s="139" t="s">
        <v>403</v>
      </c>
    </row>
    <row r="274" spans="1:30" x14ac:dyDescent="0.2">
      <c r="A274" t="s">
        <v>692</v>
      </c>
      <c r="B274" s="194"/>
      <c r="C274" s="139" t="s">
        <v>281</v>
      </c>
      <c r="D274" s="194">
        <v>8705718.8356866315</v>
      </c>
      <c r="E274" s="194">
        <v>834324</v>
      </c>
      <c r="F274" s="195">
        <v>5836622</v>
      </c>
      <c r="G274" s="195">
        <v>163946.04</v>
      </c>
      <c r="H274" s="195">
        <v>3305451</v>
      </c>
      <c r="I274" s="195">
        <v>1880302.0630653487</v>
      </c>
      <c r="J274" s="195">
        <v>199</v>
      </c>
      <c r="K274" s="195">
        <v>1661</v>
      </c>
      <c r="L274" s="195">
        <v>69</v>
      </c>
      <c r="M274" s="195">
        <v>92</v>
      </c>
      <c r="N274" s="195">
        <v>0</v>
      </c>
      <c r="O274" s="195">
        <v>0</v>
      </c>
      <c r="P274" s="195">
        <v>0</v>
      </c>
      <c r="Q274">
        <v>6</v>
      </c>
      <c r="R274">
        <v>162</v>
      </c>
      <c r="S274">
        <v>0</v>
      </c>
      <c r="T274">
        <v>1314</v>
      </c>
      <c r="U274">
        <v>767</v>
      </c>
      <c r="V274">
        <v>67</v>
      </c>
      <c r="W274">
        <v>78</v>
      </c>
      <c r="X274">
        <v>160</v>
      </c>
      <c r="Y274">
        <v>6</v>
      </c>
      <c r="Z274" s="195">
        <v>23450000</v>
      </c>
      <c r="AA274" s="195">
        <v>23835000</v>
      </c>
      <c r="AD274" s="139" t="s">
        <v>281</v>
      </c>
    </row>
    <row r="275" spans="1:30" x14ac:dyDescent="0.2">
      <c r="A275" t="s">
        <v>695</v>
      </c>
      <c r="B275" s="194"/>
      <c r="C275" s="139" t="s">
        <v>233</v>
      </c>
      <c r="D275" s="194">
        <v>28119847.547018819</v>
      </c>
      <c r="E275" s="194">
        <v>2530454</v>
      </c>
      <c r="F275" s="195">
        <v>15793035</v>
      </c>
      <c r="G275" s="195">
        <v>456294.26</v>
      </c>
      <c r="H275" s="195">
        <v>5369843</v>
      </c>
      <c r="I275" s="195">
        <v>4412348.0742391758</v>
      </c>
      <c r="J275" s="195">
        <v>1070</v>
      </c>
      <c r="K275" s="195">
        <v>4937</v>
      </c>
      <c r="L275" s="195">
        <v>114</v>
      </c>
      <c r="M275" s="195">
        <v>462</v>
      </c>
      <c r="N275" s="195">
        <v>151</v>
      </c>
      <c r="O275" s="195">
        <v>0</v>
      </c>
      <c r="P275" s="195">
        <v>127</v>
      </c>
      <c r="Q275">
        <v>0</v>
      </c>
      <c r="R275">
        <v>27</v>
      </c>
      <c r="S275">
        <v>0</v>
      </c>
      <c r="T275">
        <v>3199</v>
      </c>
      <c r="U275">
        <v>2799</v>
      </c>
      <c r="V275">
        <v>518</v>
      </c>
      <c r="W275">
        <v>528</v>
      </c>
      <c r="X275">
        <v>664</v>
      </c>
      <c r="Y275">
        <v>97</v>
      </c>
      <c r="Z275" s="195">
        <v>79788000</v>
      </c>
      <c r="AA275" s="195">
        <v>81935000</v>
      </c>
      <c r="AD275" s="139" t="s">
        <v>233</v>
      </c>
    </row>
    <row r="276" spans="1:30" x14ac:dyDescent="0.2">
      <c r="A276" t="s">
        <v>694</v>
      </c>
      <c r="B276" s="194"/>
      <c r="C276" s="139" t="s">
        <v>404</v>
      </c>
      <c r="D276" s="194">
        <v>43808643.435698584</v>
      </c>
      <c r="E276" s="194">
        <v>4740586</v>
      </c>
      <c r="F276" s="195">
        <v>19701453</v>
      </c>
      <c r="G276" s="195">
        <v>560872.95999999996</v>
      </c>
      <c r="H276" s="195">
        <v>17880486</v>
      </c>
      <c r="I276" s="195">
        <v>5012358.8759240611</v>
      </c>
      <c r="J276" s="195">
        <v>0</v>
      </c>
      <c r="K276" s="195">
        <v>12394</v>
      </c>
      <c r="L276" s="195">
        <v>145</v>
      </c>
      <c r="M276" s="195">
        <v>192</v>
      </c>
      <c r="N276" s="195">
        <v>0</v>
      </c>
      <c r="O276" s="195">
        <v>0</v>
      </c>
      <c r="P276" s="195">
        <v>0</v>
      </c>
      <c r="Q276">
        <v>730</v>
      </c>
      <c r="R276">
        <v>330</v>
      </c>
      <c r="S276">
        <v>0</v>
      </c>
      <c r="T276">
        <v>3400</v>
      </c>
      <c r="U276">
        <v>7066</v>
      </c>
      <c r="V276">
        <v>0</v>
      </c>
      <c r="W276">
        <v>772</v>
      </c>
      <c r="X276">
        <v>1013</v>
      </c>
      <c r="Y276">
        <v>78</v>
      </c>
      <c r="Z276" s="195">
        <v>169504000</v>
      </c>
      <c r="AA276" s="195">
        <v>169429000</v>
      </c>
      <c r="AD276" s="139" t="s">
        <v>404</v>
      </c>
    </row>
    <row r="277" spans="1:30" x14ac:dyDescent="0.2">
      <c r="A277" t="s">
        <v>699</v>
      </c>
      <c r="B277" s="194"/>
      <c r="C277" s="139" t="s">
        <v>517</v>
      </c>
      <c r="D277" s="194">
        <v>14821947.088238426</v>
      </c>
      <c r="E277" s="194">
        <v>1696220</v>
      </c>
      <c r="F277" s="195">
        <v>9902529</v>
      </c>
      <c r="G277" s="195">
        <v>300154.71999999997</v>
      </c>
      <c r="H277" s="195">
        <v>3644721</v>
      </c>
      <c r="I277" s="195">
        <v>3825606.786975035</v>
      </c>
      <c r="J277" s="195">
        <v>270</v>
      </c>
      <c r="K277" s="195">
        <v>2669</v>
      </c>
      <c r="L277" s="195">
        <v>117</v>
      </c>
      <c r="M277" s="195">
        <v>350</v>
      </c>
      <c r="N277" s="195">
        <v>0</v>
      </c>
      <c r="O277" s="195">
        <v>0</v>
      </c>
      <c r="P277" s="195">
        <v>0</v>
      </c>
      <c r="Q277">
        <v>0</v>
      </c>
      <c r="R277">
        <v>0</v>
      </c>
      <c r="S277">
        <v>0</v>
      </c>
      <c r="T277">
        <v>2157</v>
      </c>
      <c r="U277">
        <v>1602</v>
      </c>
      <c r="V277">
        <v>40</v>
      </c>
      <c r="W277">
        <v>175</v>
      </c>
      <c r="X277">
        <v>318</v>
      </c>
      <c r="Y277">
        <v>0</v>
      </c>
      <c r="Z277" s="195">
        <v>43263000</v>
      </c>
      <c r="AA277" s="195">
        <v>45148000</v>
      </c>
      <c r="AD277" s="139" t="s">
        <v>517</v>
      </c>
    </row>
    <row r="278" spans="1:30" x14ac:dyDescent="0.2">
      <c r="A278" t="s">
        <v>699</v>
      </c>
      <c r="B278" s="194"/>
      <c r="C278" s="139" t="s">
        <v>518</v>
      </c>
      <c r="D278" s="194">
        <v>53578474.781357855</v>
      </c>
      <c r="E278" s="194">
        <v>5016593</v>
      </c>
      <c r="F278" s="195">
        <v>37030103</v>
      </c>
      <c r="G278" s="195">
        <v>1020384.8</v>
      </c>
      <c r="H278" s="195">
        <v>27072244</v>
      </c>
      <c r="I278" s="195">
        <v>15582571.538870431</v>
      </c>
      <c r="J278" s="195">
        <v>2604</v>
      </c>
      <c r="K278" s="195">
        <v>10104</v>
      </c>
      <c r="L278" s="195">
        <v>364</v>
      </c>
      <c r="M278" s="195">
        <v>317</v>
      </c>
      <c r="N278" s="195">
        <v>0</v>
      </c>
      <c r="O278" s="195">
        <v>1</v>
      </c>
      <c r="P278" s="195">
        <v>0</v>
      </c>
      <c r="Q278">
        <v>2000</v>
      </c>
      <c r="R278">
        <v>267</v>
      </c>
      <c r="S278">
        <v>0</v>
      </c>
      <c r="T278">
        <v>4856</v>
      </c>
      <c r="U278">
        <v>5634</v>
      </c>
      <c r="V278">
        <v>244</v>
      </c>
      <c r="W278">
        <v>1055</v>
      </c>
      <c r="X278">
        <v>1164</v>
      </c>
      <c r="Y278">
        <v>85</v>
      </c>
      <c r="Z278" s="195">
        <v>176943000</v>
      </c>
      <c r="AA278" s="195">
        <v>181750000</v>
      </c>
      <c r="AD278" s="139" t="s">
        <v>518</v>
      </c>
    </row>
    <row r="279" spans="1:30" x14ac:dyDescent="0.2">
      <c r="A279" t="s">
        <v>690</v>
      </c>
      <c r="B279" s="194"/>
      <c r="C279" s="139" t="s">
        <v>477</v>
      </c>
      <c r="D279" s="194">
        <v>65614802.252472773</v>
      </c>
      <c r="E279" s="194">
        <v>6346465</v>
      </c>
      <c r="F279" s="195">
        <v>45011420</v>
      </c>
      <c r="G279" s="195">
        <v>1270694.3999999999</v>
      </c>
      <c r="H279" s="195">
        <v>27207286</v>
      </c>
      <c r="I279" s="195">
        <v>16711600.344019713</v>
      </c>
      <c r="J279" s="195">
        <v>1875</v>
      </c>
      <c r="K279" s="195">
        <v>10899</v>
      </c>
      <c r="L279" s="195">
        <v>381</v>
      </c>
      <c r="M279" s="195">
        <v>127</v>
      </c>
      <c r="N279" s="195">
        <v>125</v>
      </c>
      <c r="O279" s="195">
        <v>0</v>
      </c>
      <c r="P279" s="195">
        <v>0</v>
      </c>
      <c r="Q279">
        <v>2635</v>
      </c>
      <c r="R279">
        <v>106</v>
      </c>
      <c r="S279">
        <v>0</v>
      </c>
      <c r="T279">
        <v>11374</v>
      </c>
      <c r="U279">
        <v>8924</v>
      </c>
      <c r="V279">
        <v>0</v>
      </c>
      <c r="W279">
        <v>1389</v>
      </c>
      <c r="X279">
        <v>1627</v>
      </c>
      <c r="Y279">
        <v>132</v>
      </c>
      <c r="Z279" s="195">
        <v>215227000</v>
      </c>
      <c r="AA279" s="195">
        <v>211626000</v>
      </c>
      <c r="AD279" s="139" t="s">
        <v>477</v>
      </c>
    </row>
    <row r="280" spans="1:30" x14ac:dyDescent="0.2">
      <c r="A280" t="s">
        <v>694</v>
      </c>
      <c r="B280" s="194"/>
      <c r="C280" s="139" t="s">
        <v>405</v>
      </c>
      <c r="D280" s="194">
        <v>922110562.34148598</v>
      </c>
      <c r="E280" s="194">
        <v>49116419</v>
      </c>
      <c r="F280" s="195">
        <v>436065557</v>
      </c>
      <c r="G280" s="195">
        <v>83567492.879999995</v>
      </c>
      <c r="H280" s="195">
        <v>515514393</v>
      </c>
      <c r="I280" s="195">
        <v>118588625.18592313</v>
      </c>
      <c r="J280" s="195">
        <v>74918</v>
      </c>
      <c r="K280" s="195">
        <v>159291</v>
      </c>
      <c r="L280" s="195">
        <v>2391</v>
      </c>
      <c r="M280" s="195">
        <v>3632</v>
      </c>
      <c r="N280" s="195">
        <v>1950</v>
      </c>
      <c r="O280" s="195">
        <v>0</v>
      </c>
      <c r="P280" s="195">
        <v>0</v>
      </c>
      <c r="Q280">
        <v>65932</v>
      </c>
      <c r="R280">
        <v>22867</v>
      </c>
      <c r="S280">
        <v>115</v>
      </c>
      <c r="T280">
        <v>63063</v>
      </c>
      <c r="U280">
        <v>100375</v>
      </c>
      <c r="V280">
        <v>6557</v>
      </c>
      <c r="W280">
        <v>10126</v>
      </c>
      <c r="X280">
        <v>12893</v>
      </c>
      <c r="Y280">
        <v>2206</v>
      </c>
      <c r="Z280" s="195">
        <v>4023314126</v>
      </c>
      <c r="AA280" s="195">
        <v>4181193021</v>
      </c>
      <c r="AD280" s="139" t="s">
        <v>405</v>
      </c>
    </row>
    <row r="281" spans="1:30" x14ac:dyDescent="0.2">
      <c r="A281" t="s">
        <v>692</v>
      </c>
      <c r="B281" s="194"/>
      <c r="C281" s="139" t="s">
        <v>282</v>
      </c>
      <c r="D281" s="194">
        <v>1963627.1504326505</v>
      </c>
      <c r="E281" s="194">
        <v>71115</v>
      </c>
      <c r="F281" s="195">
        <v>250593</v>
      </c>
      <c r="G281" s="195">
        <v>10011.1</v>
      </c>
      <c r="H281" s="195">
        <v>92203</v>
      </c>
      <c r="I281" s="195">
        <v>48137.036263023714</v>
      </c>
      <c r="J281" s="195">
        <v>21</v>
      </c>
      <c r="K281" s="195">
        <v>340</v>
      </c>
      <c r="L281" s="195">
        <v>0</v>
      </c>
      <c r="M281" s="195">
        <v>0</v>
      </c>
      <c r="N281" s="195">
        <v>0</v>
      </c>
      <c r="O281" s="195">
        <v>0</v>
      </c>
      <c r="P281" s="195">
        <v>0</v>
      </c>
      <c r="Q281">
        <v>0</v>
      </c>
      <c r="R281">
        <v>0</v>
      </c>
      <c r="S281">
        <v>0</v>
      </c>
      <c r="T281">
        <v>138</v>
      </c>
      <c r="U281">
        <v>149</v>
      </c>
      <c r="V281">
        <v>74</v>
      </c>
      <c r="W281">
        <v>44</v>
      </c>
      <c r="X281">
        <v>47</v>
      </c>
      <c r="Y281">
        <v>0</v>
      </c>
      <c r="Z281" s="195">
        <v>6486000</v>
      </c>
      <c r="AA281" s="195">
        <v>6487000</v>
      </c>
      <c r="AD281" s="139" t="s">
        <v>282</v>
      </c>
    </row>
    <row r="282" spans="1:30" x14ac:dyDescent="0.2">
      <c r="A282" t="s">
        <v>699</v>
      </c>
      <c r="B282" s="194"/>
      <c r="C282" s="139" t="s">
        <v>478</v>
      </c>
      <c r="D282" s="194">
        <v>15157976.993981484</v>
      </c>
      <c r="E282" s="194">
        <v>2014658</v>
      </c>
      <c r="F282" s="195">
        <v>14663908</v>
      </c>
      <c r="G282" s="195">
        <v>222754.75999999998</v>
      </c>
      <c r="H282" s="195">
        <v>4350655</v>
      </c>
      <c r="I282" s="195">
        <v>7359130.7508628862</v>
      </c>
      <c r="J282" s="195">
        <v>379</v>
      </c>
      <c r="K282" s="195">
        <v>3212</v>
      </c>
      <c r="L282" s="195">
        <v>0</v>
      </c>
      <c r="M282" s="195">
        <v>131</v>
      </c>
      <c r="N282" s="195">
        <v>0</v>
      </c>
      <c r="O282" s="195">
        <v>0</v>
      </c>
      <c r="P282" s="195">
        <v>22</v>
      </c>
      <c r="Q282">
        <v>0</v>
      </c>
      <c r="R282">
        <v>0</v>
      </c>
      <c r="S282">
        <v>0</v>
      </c>
      <c r="T282">
        <v>2168</v>
      </c>
      <c r="U282">
        <v>2035</v>
      </c>
      <c r="V282">
        <v>46</v>
      </c>
      <c r="W282">
        <v>201</v>
      </c>
      <c r="X282">
        <v>361</v>
      </c>
      <c r="Y282">
        <v>19</v>
      </c>
      <c r="Z282" s="195">
        <v>53128000</v>
      </c>
      <c r="AA282" s="195">
        <v>59839000</v>
      </c>
      <c r="AD282" s="139" t="s">
        <v>478</v>
      </c>
    </row>
    <row r="283" spans="1:30" x14ac:dyDescent="0.2">
      <c r="A283" t="s">
        <v>691</v>
      </c>
      <c r="B283" s="194"/>
      <c r="C283" s="139" t="s">
        <v>352</v>
      </c>
      <c r="D283" s="194">
        <v>35755800.909448728</v>
      </c>
      <c r="E283" s="194">
        <v>3153291</v>
      </c>
      <c r="F283" s="195">
        <v>18198360</v>
      </c>
      <c r="G283" s="195">
        <v>793376.94</v>
      </c>
      <c r="H283" s="195">
        <v>7679297</v>
      </c>
      <c r="I283" s="195">
        <v>5017881.1994855758</v>
      </c>
      <c r="J283" s="195">
        <v>1166</v>
      </c>
      <c r="K283" s="195">
        <v>7809</v>
      </c>
      <c r="L283" s="195">
        <v>0</v>
      </c>
      <c r="M283" s="195">
        <v>926</v>
      </c>
      <c r="N283" s="195">
        <v>0</v>
      </c>
      <c r="O283" s="195">
        <v>0</v>
      </c>
      <c r="P283" s="195">
        <v>1339</v>
      </c>
      <c r="Q283">
        <v>0</v>
      </c>
      <c r="R283">
        <v>604</v>
      </c>
      <c r="S283">
        <v>0</v>
      </c>
      <c r="T283">
        <v>3800</v>
      </c>
      <c r="U283">
        <v>4847</v>
      </c>
      <c r="V283">
        <v>249</v>
      </c>
      <c r="W283">
        <v>800</v>
      </c>
      <c r="X283">
        <v>877</v>
      </c>
      <c r="Y283">
        <v>44</v>
      </c>
      <c r="Z283" s="195">
        <v>122503000</v>
      </c>
      <c r="AA283" s="195">
        <v>99303000</v>
      </c>
      <c r="AD283" s="139" t="s">
        <v>352</v>
      </c>
    </row>
    <row r="284" spans="1:30" x14ac:dyDescent="0.2">
      <c r="A284" t="s">
        <v>692</v>
      </c>
      <c r="B284" s="194"/>
      <c r="C284" s="139" t="s">
        <v>283</v>
      </c>
      <c r="D284" s="194">
        <v>6106157.0350204613</v>
      </c>
      <c r="E284" s="194">
        <v>582080</v>
      </c>
      <c r="F284" s="195">
        <v>2924341</v>
      </c>
      <c r="G284" s="195">
        <v>90052.38</v>
      </c>
      <c r="H284" s="195">
        <v>831104</v>
      </c>
      <c r="I284" s="195">
        <v>288319.89549938531</v>
      </c>
      <c r="J284" s="195">
        <v>171</v>
      </c>
      <c r="K284" s="195">
        <v>1251</v>
      </c>
      <c r="L284" s="195">
        <v>48</v>
      </c>
      <c r="M284" s="195">
        <v>107</v>
      </c>
      <c r="N284" s="195">
        <v>0</v>
      </c>
      <c r="O284" s="195">
        <v>0</v>
      </c>
      <c r="P284" s="195">
        <v>0</v>
      </c>
      <c r="Q284">
        <v>0</v>
      </c>
      <c r="R284">
        <v>0</v>
      </c>
      <c r="S284">
        <v>0</v>
      </c>
      <c r="T284">
        <v>1173</v>
      </c>
      <c r="U284">
        <v>729</v>
      </c>
      <c r="V284">
        <v>134</v>
      </c>
      <c r="W284">
        <v>290</v>
      </c>
      <c r="X284">
        <v>176</v>
      </c>
      <c r="Y284">
        <v>27</v>
      </c>
      <c r="Z284" s="195">
        <v>18680000</v>
      </c>
      <c r="AA284" s="195">
        <v>18989000</v>
      </c>
      <c r="AD284" s="139" t="s">
        <v>283</v>
      </c>
    </row>
    <row r="285" spans="1:30" x14ac:dyDescent="0.2">
      <c r="A285" t="s">
        <v>694</v>
      </c>
      <c r="B285" s="194"/>
      <c r="C285" s="139" t="s">
        <v>406</v>
      </c>
      <c r="D285" s="194">
        <v>83106471.615452066</v>
      </c>
      <c r="E285" s="194">
        <v>6063934</v>
      </c>
      <c r="F285" s="195">
        <v>39691113</v>
      </c>
      <c r="G285" s="195">
        <v>2148199.5</v>
      </c>
      <c r="H285" s="195">
        <v>37098123</v>
      </c>
      <c r="I285" s="195">
        <v>15532342.910499007</v>
      </c>
      <c r="J285" s="195">
        <v>2828</v>
      </c>
      <c r="K285" s="195">
        <v>10926</v>
      </c>
      <c r="L285" s="195">
        <v>421</v>
      </c>
      <c r="M285" s="195">
        <v>0</v>
      </c>
      <c r="N285" s="195">
        <v>115</v>
      </c>
      <c r="O285" s="195">
        <v>0</v>
      </c>
      <c r="P285" s="195">
        <v>0</v>
      </c>
      <c r="Q285">
        <v>2576</v>
      </c>
      <c r="R285">
        <v>160</v>
      </c>
      <c r="S285">
        <v>0</v>
      </c>
      <c r="T285">
        <v>9008</v>
      </c>
      <c r="U285">
        <v>10645</v>
      </c>
      <c r="V285">
        <v>0</v>
      </c>
      <c r="W285">
        <v>660</v>
      </c>
      <c r="X285">
        <v>1450</v>
      </c>
      <c r="Y285">
        <v>103</v>
      </c>
      <c r="Z285" s="195">
        <v>274213000</v>
      </c>
      <c r="AA285" s="195">
        <v>278877000</v>
      </c>
      <c r="AD285" s="139" t="s">
        <v>406</v>
      </c>
    </row>
    <row r="286" spans="1:30" x14ac:dyDescent="0.2">
      <c r="A286" t="s">
        <v>693</v>
      </c>
      <c r="B286" s="194"/>
      <c r="C286" s="139" t="s">
        <v>211</v>
      </c>
      <c r="D286" s="194">
        <v>2203728.5593704842</v>
      </c>
      <c r="E286" s="194">
        <v>95734</v>
      </c>
      <c r="F286" s="195">
        <v>276464</v>
      </c>
      <c r="G286" s="195">
        <v>42595.82</v>
      </c>
      <c r="H286" s="195">
        <v>112805</v>
      </c>
      <c r="I286" s="195">
        <v>34201.008193650312</v>
      </c>
      <c r="J286" s="195">
        <v>67</v>
      </c>
      <c r="K286" s="195">
        <v>401</v>
      </c>
      <c r="L286" s="195">
        <v>0</v>
      </c>
      <c r="M286" s="195">
        <v>1047</v>
      </c>
      <c r="N286" s="195">
        <v>0</v>
      </c>
      <c r="O286" s="195">
        <v>0</v>
      </c>
      <c r="P286" s="195">
        <v>194</v>
      </c>
      <c r="Q286">
        <v>0</v>
      </c>
      <c r="R286">
        <v>0</v>
      </c>
      <c r="S286">
        <v>0</v>
      </c>
      <c r="T286">
        <v>241</v>
      </c>
      <c r="U286">
        <v>413</v>
      </c>
      <c r="V286">
        <v>30</v>
      </c>
      <c r="W286">
        <v>88</v>
      </c>
      <c r="X286">
        <v>27</v>
      </c>
      <c r="Y286">
        <v>0</v>
      </c>
      <c r="Z286" s="195">
        <v>5988000</v>
      </c>
      <c r="AA286" s="195">
        <v>5975000</v>
      </c>
      <c r="AD286" s="139" t="s">
        <v>211</v>
      </c>
    </row>
    <row r="287" spans="1:30" x14ac:dyDescent="0.2">
      <c r="A287" t="s">
        <v>699</v>
      </c>
      <c r="B287" s="194"/>
      <c r="C287" s="139" t="s">
        <v>519</v>
      </c>
      <c r="D287" s="194">
        <v>9282270.3994929083</v>
      </c>
      <c r="E287" s="194">
        <v>1050490</v>
      </c>
      <c r="F287" s="195">
        <v>6514060</v>
      </c>
      <c r="G287" s="195">
        <v>151949.97999999998</v>
      </c>
      <c r="H287" s="195">
        <v>2586567</v>
      </c>
      <c r="I287" s="195">
        <v>1977936.9048561666</v>
      </c>
      <c r="J287" s="195">
        <v>210</v>
      </c>
      <c r="K287" s="195">
        <v>2021</v>
      </c>
      <c r="L287" s="195">
        <v>81</v>
      </c>
      <c r="M287" s="195">
        <v>25</v>
      </c>
      <c r="N287" s="195">
        <v>0</v>
      </c>
      <c r="O287" s="195">
        <v>0</v>
      </c>
      <c r="P287" s="195">
        <v>0</v>
      </c>
      <c r="Q287">
        <v>0</v>
      </c>
      <c r="R287">
        <v>0</v>
      </c>
      <c r="S287">
        <v>0</v>
      </c>
      <c r="T287">
        <v>1706</v>
      </c>
      <c r="U287">
        <v>1136</v>
      </c>
      <c r="V287">
        <v>0</v>
      </c>
      <c r="W287">
        <v>125</v>
      </c>
      <c r="X287">
        <v>245</v>
      </c>
      <c r="Y287">
        <v>0</v>
      </c>
      <c r="Z287" s="195">
        <v>28259000</v>
      </c>
      <c r="AA287" s="195">
        <v>28324000</v>
      </c>
      <c r="AD287" s="139" t="s">
        <v>519</v>
      </c>
    </row>
    <row r="288" spans="1:30" x14ac:dyDescent="0.2">
      <c r="A288" t="s">
        <v>701</v>
      </c>
      <c r="B288" s="194"/>
      <c r="C288" s="139" t="s">
        <v>428</v>
      </c>
      <c r="D288" s="194">
        <v>29012573.423415564</v>
      </c>
      <c r="E288" s="194">
        <v>2759008</v>
      </c>
      <c r="F288" s="195">
        <v>15170896</v>
      </c>
      <c r="G288" s="195">
        <v>670974.48</v>
      </c>
      <c r="H288" s="195">
        <v>6057868</v>
      </c>
      <c r="I288" s="195">
        <v>5719143.7440769579</v>
      </c>
      <c r="J288" s="195">
        <v>812</v>
      </c>
      <c r="K288" s="195">
        <v>6680</v>
      </c>
      <c r="L288" s="195">
        <v>185</v>
      </c>
      <c r="M288" s="195">
        <v>4829</v>
      </c>
      <c r="N288" s="195">
        <v>0</v>
      </c>
      <c r="O288" s="195">
        <v>0</v>
      </c>
      <c r="P288" s="195">
        <v>1949</v>
      </c>
      <c r="Q288">
        <v>1710</v>
      </c>
      <c r="R288">
        <v>259</v>
      </c>
      <c r="S288">
        <v>0</v>
      </c>
      <c r="T288">
        <v>6012</v>
      </c>
      <c r="U288">
        <v>4990</v>
      </c>
      <c r="V288">
        <v>422</v>
      </c>
      <c r="W288">
        <v>1276</v>
      </c>
      <c r="X288">
        <v>644</v>
      </c>
      <c r="Y288">
        <v>59</v>
      </c>
      <c r="Z288" s="195">
        <v>98316000</v>
      </c>
      <c r="AA288" s="195">
        <v>99656000</v>
      </c>
      <c r="AD288" s="139" t="s">
        <v>428</v>
      </c>
    </row>
    <row r="289" spans="1:30" x14ac:dyDescent="0.2">
      <c r="A289" t="s">
        <v>694</v>
      </c>
      <c r="B289" s="194"/>
      <c r="C289" s="139" t="s">
        <v>546</v>
      </c>
      <c r="D289" s="194">
        <v>737236811.05664134</v>
      </c>
      <c r="E289" s="194">
        <v>34837694</v>
      </c>
      <c r="F289" s="195">
        <v>320389627</v>
      </c>
      <c r="G289" s="195">
        <v>53057609.600000001</v>
      </c>
      <c r="H289" s="195">
        <v>328867610</v>
      </c>
      <c r="I289" s="195">
        <v>82278957.694545373</v>
      </c>
      <c r="J289" s="195">
        <v>21913</v>
      </c>
      <c r="K289" s="195">
        <v>61242</v>
      </c>
      <c r="L289" s="195">
        <v>1850</v>
      </c>
      <c r="M289" s="195">
        <v>6216</v>
      </c>
      <c r="N289" s="195">
        <v>0</v>
      </c>
      <c r="O289" s="195">
        <v>0</v>
      </c>
      <c r="P289" s="195">
        <v>0</v>
      </c>
      <c r="Q289">
        <v>44299</v>
      </c>
      <c r="R289">
        <v>16852</v>
      </c>
      <c r="S289">
        <v>0</v>
      </c>
      <c r="T289">
        <v>35562</v>
      </c>
      <c r="U289">
        <v>59390</v>
      </c>
      <c r="V289">
        <v>2119</v>
      </c>
      <c r="W289">
        <v>14209</v>
      </c>
      <c r="X289">
        <v>11509</v>
      </c>
      <c r="Y289">
        <v>4268</v>
      </c>
      <c r="Z289" s="195">
        <v>2161630016</v>
      </c>
      <c r="AA289" s="195">
        <v>2356610008</v>
      </c>
      <c r="AD289" s="139" t="s">
        <v>546</v>
      </c>
    </row>
    <row r="290" spans="1:30" x14ac:dyDescent="0.2">
      <c r="A290" t="s">
        <v>690</v>
      </c>
      <c r="B290" s="194"/>
      <c r="C290" s="139" t="s">
        <v>597</v>
      </c>
      <c r="D290" s="194">
        <v>128989917.04341817</v>
      </c>
      <c r="E290" s="194">
        <v>10373229</v>
      </c>
      <c r="F290" s="195">
        <v>102584721</v>
      </c>
      <c r="G290" s="195">
        <v>11877988.959999999</v>
      </c>
      <c r="H290" s="195">
        <v>55426017</v>
      </c>
      <c r="I290" s="195">
        <v>30525419.343633864</v>
      </c>
      <c r="J290" s="195">
        <v>8637</v>
      </c>
      <c r="K290" s="195">
        <v>27872</v>
      </c>
      <c r="L290" s="195">
        <v>889</v>
      </c>
      <c r="M290" s="195">
        <v>821</v>
      </c>
      <c r="N290" s="195">
        <v>0</v>
      </c>
      <c r="O290" s="195">
        <v>0</v>
      </c>
      <c r="P290" s="195">
        <v>0</v>
      </c>
      <c r="Q290">
        <v>15625</v>
      </c>
      <c r="R290">
        <v>371</v>
      </c>
      <c r="S290">
        <v>7</v>
      </c>
      <c r="T290">
        <v>9011</v>
      </c>
      <c r="U290">
        <v>15358</v>
      </c>
      <c r="V290">
        <v>97</v>
      </c>
      <c r="W290">
        <v>2828</v>
      </c>
      <c r="X290">
        <v>2831</v>
      </c>
      <c r="Y290">
        <v>426</v>
      </c>
      <c r="Z290" s="195">
        <v>671300008</v>
      </c>
      <c r="AA290" s="195">
        <v>690743000</v>
      </c>
      <c r="AD290" s="139" t="s">
        <v>597</v>
      </c>
    </row>
    <row r="291" spans="1:30" x14ac:dyDescent="0.2">
      <c r="A291" t="s">
        <v>699</v>
      </c>
      <c r="B291" s="194"/>
      <c r="C291" s="139" t="s">
        <v>520</v>
      </c>
      <c r="D291" s="194">
        <v>7785212.1390619464</v>
      </c>
      <c r="E291" s="194">
        <v>1057056</v>
      </c>
      <c r="F291" s="195">
        <v>6992221</v>
      </c>
      <c r="G291" s="195">
        <v>111790.44</v>
      </c>
      <c r="H291" s="195">
        <v>2143915</v>
      </c>
      <c r="I291" s="195">
        <v>2888180.6979055866</v>
      </c>
      <c r="J291" s="195">
        <v>215</v>
      </c>
      <c r="K291" s="195">
        <v>1804</v>
      </c>
      <c r="L291" s="195">
        <v>72</v>
      </c>
      <c r="M291" s="195">
        <v>66</v>
      </c>
      <c r="N291" s="195">
        <v>0</v>
      </c>
      <c r="O291" s="195">
        <v>0</v>
      </c>
      <c r="P291" s="195">
        <v>0</v>
      </c>
      <c r="Q291">
        <v>0</v>
      </c>
      <c r="R291">
        <v>3</v>
      </c>
      <c r="S291">
        <v>0</v>
      </c>
      <c r="T291">
        <v>1344</v>
      </c>
      <c r="U291">
        <v>839</v>
      </c>
      <c r="V291">
        <v>50</v>
      </c>
      <c r="W291">
        <v>300</v>
      </c>
      <c r="X291">
        <v>170</v>
      </c>
      <c r="Y291">
        <v>4</v>
      </c>
      <c r="Z291" s="195">
        <v>24302000</v>
      </c>
      <c r="AA291" s="195">
        <v>24771000</v>
      </c>
      <c r="AD291" s="139" t="s">
        <v>520</v>
      </c>
    </row>
    <row r="292" spans="1:30" x14ac:dyDescent="0.2">
      <c r="A292" t="s">
        <v>690</v>
      </c>
      <c r="B292" s="194"/>
      <c r="C292" s="139" t="s">
        <v>542</v>
      </c>
      <c r="D292" s="194">
        <v>9041972.8054977451</v>
      </c>
      <c r="E292" s="194">
        <v>828369</v>
      </c>
      <c r="F292" s="195">
        <v>4884097</v>
      </c>
      <c r="G292" s="195">
        <v>283944.46999999997</v>
      </c>
      <c r="H292" s="195">
        <v>968835</v>
      </c>
      <c r="I292" s="195">
        <v>1520656.0565257887</v>
      </c>
      <c r="J292" s="195">
        <v>584</v>
      </c>
      <c r="K292" s="195">
        <v>2435</v>
      </c>
      <c r="L292" s="195">
        <v>0</v>
      </c>
      <c r="M292" s="195">
        <v>180</v>
      </c>
      <c r="N292" s="195">
        <v>0</v>
      </c>
      <c r="O292" s="195">
        <v>8</v>
      </c>
      <c r="P292" s="195">
        <v>0</v>
      </c>
      <c r="Q292">
        <v>0</v>
      </c>
      <c r="R292">
        <v>0</v>
      </c>
      <c r="S292">
        <v>0</v>
      </c>
      <c r="T292">
        <v>1280</v>
      </c>
      <c r="U292">
        <v>729</v>
      </c>
      <c r="V292">
        <v>114</v>
      </c>
      <c r="W292">
        <v>396</v>
      </c>
      <c r="X292">
        <v>206</v>
      </c>
      <c r="Y292">
        <v>1</v>
      </c>
      <c r="Z292" s="195">
        <v>26583000</v>
      </c>
      <c r="AA292" s="195">
        <v>27761000</v>
      </c>
      <c r="AD292" s="139" t="s">
        <v>542</v>
      </c>
    </row>
    <row r="293" spans="1:30" x14ac:dyDescent="0.2">
      <c r="A293" t="s">
        <v>690</v>
      </c>
      <c r="B293" s="194"/>
      <c r="C293" s="139" t="s">
        <v>480</v>
      </c>
      <c r="D293" s="194">
        <v>18440522.179128543</v>
      </c>
      <c r="E293" s="194">
        <v>1967743</v>
      </c>
      <c r="F293" s="195">
        <v>13355020</v>
      </c>
      <c r="G293" s="195">
        <v>274707.7</v>
      </c>
      <c r="H293" s="195">
        <v>3106703</v>
      </c>
      <c r="I293" s="195">
        <v>4724412.723381429</v>
      </c>
      <c r="J293" s="195">
        <v>313</v>
      </c>
      <c r="K293" s="195">
        <v>5152</v>
      </c>
      <c r="L293" s="195">
        <v>141</v>
      </c>
      <c r="M293" s="195">
        <v>69</v>
      </c>
      <c r="N293" s="195">
        <v>0</v>
      </c>
      <c r="O293" s="195">
        <v>0</v>
      </c>
      <c r="P293" s="195">
        <v>0</v>
      </c>
      <c r="Q293">
        <v>0</v>
      </c>
      <c r="R293">
        <v>0</v>
      </c>
      <c r="S293">
        <v>0</v>
      </c>
      <c r="T293">
        <v>1750</v>
      </c>
      <c r="U293">
        <v>1545</v>
      </c>
      <c r="V293">
        <v>3</v>
      </c>
      <c r="W293">
        <v>490</v>
      </c>
      <c r="X293">
        <v>477</v>
      </c>
      <c r="Y293">
        <v>49</v>
      </c>
      <c r="Z293" s="195">
        <v>59808000</v>
      </c>
      <c r="AA293" s="195">
        <v>59700000</v>
      </c>
      <c r="AD293" s="139" t="s">
        <v>480</v>
      </c>
    </row>
    <row r="294" spans="1:30" x14ac:dyDescent="0.2">
      <c r="A294" t="s">
        <v>699</v>
      </c>
      <c r="B294" s="194"/>
      <c r="C294" s="139" t="s">
        <v>521</v>
      </c>
      <c r="D294" s="194">
        <v>82375016.77947107</v>
      </c>
      <c r="E294" s="194">
        <v>9279564</v>
      </c>
      <c r="F294" s="195">
        <v>57220970</v>
      </c>
      <c r="G294" s="195">
        <v>2529420.4</v>
      </c>
      <c r="H294" s="195">
        <v>39831233</v>
      </c>
      <c r="I294" s="195">
        <v>21421537.426771197</v>
      </c>
      <c r="J294" s="195">
        <v>10361</v>
      </c>
      <c r="K294" s="195">
        <v>27967</v>
      </c>
      <c r="L294" s="195">
        <v>550</v>
      </c>
      <c r="M294" s="195">
        <v>111</v>
      </c>
      <c r="N294" s="195">
        <v>338</v>
      </c>
      <c r="O294" s="195">
        <v>0</v>
      </c>
      <c r="P294" s="195">
        <v>0</v>
      </c>
      <c r="Q294">
        <v>5912</v>
      </c>
      <c r="R294">
        <v>45</v>
      </c>
      <c r="S294">
        <v>0</v>
      </c>
      <c r="T294">
        <v>9047</v>
      </c>
      <c r="U294">
        <v>12197</v>
      </c>
      <c r="V294">
        <v>290</v>
      </c>
      <c r="W294">
        <v>1945</v>
      </c>
      <c r="X294">
        <v>1758</v>
      </c>
      <c r="Y294">
        <v>351</v>
      </c>
      <c r="Z294" s="195">
        <v>294067000</v>
      </c>
      <c r="AA294" s="195">
        <v>293760000</v>
      </c>
      <c r="AD294" s="139" t="s">
        <v>521</v>
      </c>
    </row>
    <row r="295" spans="1:30" x14ac:dyDescent="0.2">
      <c r="A295" t="s">
        <v>694</v>
      </c>
      <c r="B295" s="194"/>
      <c r="C295" s="139" t="s">
        <v>407</v>
      </c>
      <c r="D295" s="194">
        <v>19504759.574350588</v>
      </c>
      <c r="E295" s="194">
        <v>2246115</v>
      </c>
      <c r="F295" s="195">
        <v>12224840</v>
      </c>
      <c r="G295" s="195">
        <v>367857.74</v>
      </c>
      <c r="H295" s="195">
        <v>5585539</v>
      </c>
      <c r="I295" s="195">
        <v>2934861.0064565651</v>
      </c>
      <c r="J295" s="195">
        <v>575</v>
      </c>
      <c r="K295" s="195">
        <v>3045</v>
      </c>
      <c r="L295" s="195">
        <v>85</v>
      </c>
      <c r="M295" s="195">
        <v>0</v>
      </c>
      <c r="N295" s="195">
        <v>42</v>
      </c>
      <c r="O295" s="195">
        <v>0</v>
      </c>
      <c r="P295" s="195">
        <v>0</v>
      </c>
      <c r="Q295">
        <v>0</v>
      </c>
      <c r="R295">
        <v>579</v>
      </c>
      <c r="S295">
        <v>0</v>
      </c>
      <c r="T295">
        <v>2644</v>
      </c>
      <c r="U295">
        <v>2299</v>
      </c>
      <c r="V295">
        <v>413</v>
      </c>
      <c r="W295">
        <v>440</v>
      </c>
      <c r="X295">
        <v>333</v>
      </c>
      <c r="Y295">
        <v>45</v>
      </c>
      <c r="Z295" s="195">
        <v>58345000</v>
      </c>
      <c r="AA295" s="195">
        <v>57232000</v>
      </c>
      <c r="AD295" s="139" t="s">
        <v>407</v>
      </c>
    </row>
    <row r="296" spans="1:30" x14ac:dyDescent="0.2">
      <c r="A296" t="s">
        <v>698</v>
      </c>
      <c r="B296" s="194"/>
      <c r="C296" s="139" t="s">
        <v>190</v>
      </c>
      <c r="D296" s="194">
        <v>12952967.38533115</v>
      </c>
      <c r="E296" s="194">
        <v>1049969</v>
      </c>
      <c r="F296" s="195">
        <v>7309939</v>
      </c>
      <c r="G296" s="195">
        <v>628088.04</v>
      </c>
      <c r="H296" s="195">
        <v>3066615</v>
      </c>
      <c r="I296" s="195">
        <v>1860065.2306265705</v>
      </c>
      <c r="J296" s="195">
        <v>468</v>
      </c>
      <c r="K296" s="195">
        <v>2255</v>
      </c>
      <c r="L296" s="195">
        <v>0</v>
      </c>
      <c r="M296" s="195">
        <v>15</v>
      </c>
      <c r="N296" s="195">
        <v>0</v>
      </c>
      <c r="O296" s="195">
        <v>0</v>
      </c>
      <c r="P296" s="195">
        <v>0</v>
      </c>
      <c r="Q296">
        <v>0</v>
      </c>
      <c r="R296">
        <v>0</v>
      </c>
      <c r="S296">
        <v>0</v>
      </c>
      <c r="T296">
        <v>1615</v>
      </c>
      <c r="U296">
        <v>1614</v>
      </c>
      <c r="V296">
        <v>0</v>
      </c>
      <c r="W296">
        <v>364</v>
      </c>
      <c r="X296">
        <v>228</v>
      </c>
      <c r="Y296">
        <v>0</v>
      </c>
      <c r="Z296" s="195">
        <v>48667000</v>
      </c>
      <c r="AA296" s="195">
        <v>49738000</v>
      </c>
      <c r="AD296" s="139" t="s">
        <v>190</v>
      </c>
    </row>
    <row r="297" spans="1:30" x14ac:dyDescent="0.2">
      <c r="A297" t="s">
        <v>701</v>
      </c>
      <c r="B297" s="194"/>
      <c r="C297" s="139" t="s">
        <v>429</v>
      </c>
      <c r="D297" s="194">
        <v>21144644.503600869</v>
      </c>
      <c r="E297" s="194">
        <v>2135545</v>
      </c>
      <c r="F297" s="195">
        <v>9329436</v>
      </c>
      <c r="G297" s="195">
        <v>593423.46</v>
      </c>
      <c r="H297" s="195">
        <v>4273103</v>
      </c>
      <c r="I297" s="195">
        <v>2794088.2023623493</v>
      </c>
      <c r="J297" s="195">
        <v>888</v>
      </c>
      <c r="K297" s="195">
        <v>4878</v>
      </c>
      <c r="L297" s="195">
        <v>167</v>
      </c>
      <c r="M297" s="195">
        <v>3270</v>
      </c>
      <c r="N297" s="195">
        <v>152</v>
      </c>
      <c r="O297" s="195">
        <v>13</v>
      </c>
      <c r="P297" s="195">
        <v>1285</v>
      </c>
      <c r="Q297">
        <v>1874</v>
      </c>
      <c r="R297">
        <v>181</v>
      </c>
      <c r="S297">
        <v>0</v>
      </c>
      <c r="T297">
        <v>4010</v>
      </c>
      <c r="U297">
        <v>3593</v>
      </c>
      <c r="V297">
        <v>316</v>
      </c>
      <c r="W297">
        <v>640</v>
      </c>
      <c r="X297">
        <v>453</v>
      </c>
      <c r="Y297">
        <v>23</v>
      </c>
      <c r="Z297" s="195">
        <v>67345000</v>
      </c>
      <c r="AA297" s="195">
        <v>65930000</v>
      </c>
      <c r="AD297" s="139" t="s">
        <v>429</v>
      </c>
    </row>
    <row r="298" spans="1:30" x14ac:dyDescent="0.2">
      <c r="A298" t="s">
        <v>693</v>
      </c>
      <c r="B298" s="194"/>
      <c r="C298" s="139" t="s">
        <v>212</v>
      </c>
      <c r="D298" s="194">
        <v>51880441.382296115</v>
      </c>
      <c r="E298" s="194">
        <v>4846892</v>
      </c>
      <c r="F298" s="195">
        <v>37022231</v>
      </c>
      <c r="G298" s="195">
        <v>952832.49999999988</v>
      </c>
      <c r="H298" s="195">
        <v>26764156</v>
      </c>
      <c r="I298" s="195">
        <v>12981550.260592982</v>
      </c>
      <c r="J298" s="195">
        <v>2475</v>
      </c>
      <c r="K298" s="195">
        <v>9705</v>
      </c>
      <c r="L298" s="195">
        <v>268</v>
      </c>
      <c r="M298" s="195">
        <v>0</v>
      </c>
      <c r="N298" s="195">
        <v>94</v>
      </c>
      <c r="O298" s="195">
        <v>0</v>
      </c>
      <c r="P298" s="195">
        <v>19</v>
      </c>
      <c r="Q298">
        <v>2087</v>
      </c>
      <c r="R298">
        <v>0</v>
      </c>
      <c r="S298">
        <v>0</v>
      </c>
      <c r="T298">
        <v>7466</v>
      </c>
      <c r="U298">
        <v>5372</v>
      </c>
      <c r="V298">
        <v>482</v>
      </c>
      <c r="W298">
        <v>973</v>
      </c>
      <c r="X298">
        <v>940</v>
      </c>
      <c r="Y298">
        <v>0</v>
      </c>
      <c r="Z298" s="195">
        <v>174750000</v>
      </c>
      <c r="AA298" s="195">
        <v>181679000</v>
      </c>
      <c r="AD298" s="139" t="s">
        <v>212</v>
      </c>
    </row>
    <row r="299" spans="1:30" x14ac:dyDescent="0.2">
      <c r="A299" t="s">
        <v>697</v>
      </c>
      <c r="B299" s="194"/>
      <c r="C299" s="139" t="s">
        <v>309</v>
      </c>
      <c r="D299" s="194">
        <v>32499469.649331547</v>
      </c>
      <c r="E299" s="194">
        <v>3192783</v>
      </c>
      <c r="F299" s="195">
        <v>16856640</v>
      </c>
      <c r="G299" s="195">
        <v>561269.58000000007</v>
      </c>
      <c r="H299" s="195">
        <v>9585043</v>
      </c>
      <c r="I299" s="195">
        <v>4343484.8633812489</v>
      </c>
      <c r="J299" s="195">
        <v>1333</v>
      </c>
      <c r="K299" s="195">
        <v>6640</v>
      </c>
      <c r="L299" s="195">
        <v>262</v>
      </c>
      <c r="M299" s="195">
        <v>0</v>
      </c>
      <c r="N299" s="195">
        <v>0</v>
      </c>
      <c r="O299" s="195">
        <v>0</v>
      </c>
      <c r="P299" s="195">
        <v>0</v>
      </c>
      <c r="Q299">
        <v>0</v>
      </c>
      <c r="R299">
        <v>0</v>
      </c>
      <c r="S299">
        <v>0</v>
      </c>
      <c r="T299">
        <v>3680</v>
      </c>
      <c r="U299">
        <v>3799</v>
      </c>
      <c r="V299">
        <v>479</v>
      </c>
      <c r="W299">
        <v>1027</v>
      </c>
      <c r="X299">
        <v>658</v>
      </c>
      <c r="Y299">
        <v>71</v>
      </c>
      <c r="Z299" s="195">
        <v>103867000</v>
      </c>
      <c r="AA299" s="195">
        <v>107976000</v>
      </c>
      <c r="AD299" s="139" t="s">
        <v>309</v>
      </c>
    </row>
    <row r="300" spans="1:30" x14ac:dyDescent="0.2">
      <c r="A300" t="s">
        <v>690</v>
      </c>
      <c r="B300" s="194"/>
      <c r="C300" s="139" t="s">
        <v>482</v>
      </c>
      <c r="D300" s="194">
        <v>13517872.582517825</v>
      </c>
      <c r="E300" s="194">
        <v>1278696</v>
      </c>
      <c r="F300" s="195">
        <v>7282262</v>
      </c>
      <c r="G300" s="195">
        <v>231317.14</v>
      </c>
      <c r="H300" s="195">
        <v>2919521</v>
      </c>
      <c r="I300" s="195">
        <v>2352277.1001673583</v>
      </c>
      <c r="J300" s="195">
        <v>644</v>
      </c>
      <c r="K300" s="195">
        <v>3241</v>
      </c>
      <c r="L300" s="195">
        <v>73</v>
      </c>
      <c r="M300" s="195">
        <v>108</v>
      </c>
      <c r="N300" s="195">
        <v>0</v>
      </c>
      <c r="O300" s="195">
        <v>0</v>
      </c>
      <c r="P300" s="195">
        <v>0</v>
      </c>
      <c r="Q300">
        <v>0</v>
      </c>
      <c r="R300">
        <v>0</v>
      </c>
      <c r="S300">
        <v>0</v>
      </c>
      <c r="T300">
        <v>1324</v>
      </c>
      <c r="U300">
        <v>1106</v>
      </c>
      <c r="V300">
        <v>0</v>
      </c>
      <c r="W300">
        <v>500</v>
      </c>
      <c r="X300">
        <v>303</v>
      </c>
      <c r="Y300">
        <v>3</v>
      </c>
      <c r="Z300" s="195">
        <v>49016000</v>
      </c>
      <c r="AA300" s="195">
        <v>49431000</v>
      </c>
      <c r="AD300" s="139" t="s">
        <v>482</v>
      </c>
    </row>
    <row r="301" spans="1:30" x14ac:dyDescent="0.2">
      <c r="A301" t="s">
        <v>690</v>
      </c>
      <c r="B301" s="194"/>
      <c r="C301" s="139" t="s">
        <v>483</v>
      </c>
      <c r="D301" s="194">
        <v>9980898.4256746303</v>
      </c>
      <c r="E301" s="194">
        <v>1157114</v>
      </c>
      <c r="F301" s="195">
        <v>5174870</v>
      </c>
      <c r="G301" s="195">
        <v>188045.68</v>
      </c>
      <c r="H301" s="195">
        <v>2515526</v>
      </c>
      <c r="I301" s="195">
        <v>1265242.4278298086</v>
      </c>
      <c r="J301" s="195">
        <v>774</v>
      </c>
      <c r="K301" s="195">
        <v>2735</v>
      </c>
      <c r="L301" s="195">
        <v>0</v>
      </c>
      <c r="M301" s="195">
        <v>0</v>
      </c>
      <c r="N301" s="195">
        <v>0</v>
      </c>
      <c r="O301" s="195">
        <v>0</v>
      </c>
      <c r="P301" s="195">
        <v>0</v>
      </c>
      <c r="Q301">
        <v>0</v>
      </c>
      <c r="R301">
        <v>8</v>
      </c>
      <c r="S301">
        <v>0</v>
      </c>
      <c r="T301">
        <v>1050</v>
      </c>
      <c r="U301">
        <v>1182</v>
      </c>
      <c r="V301">
        <v>0</v>
      </c>
      <c r="W301">
        <v>650</v>
      </c>
      <c r="X301">
        <v>236</v>
      </c>
      <c r="Y301">
        <v>19</v>
      </c>
      <c r="Z301" s="195">
        <v>32732000</v>
      </c>
      <c r="AA301" s="195">
        <v>34139000</v>
      </c>
      <c r="AD301" s="139" t="s">
        <v>483</v>
      </c>
    </row>
    <row r="302" spans="1:30" x14ac:dyDescent="0.2">
      <c r="A302" t="s">
        <v>698</v>
      </c>
      <c r="B302" s="194"/>
      <c r="C302" s="139" t="s">
        <v>191</v>
      </c>
      <c r="D302" s="194">
        <v>30702810.869564414</v>
      </c>
      <c r="E302" s="194">
        <v>3877809</v>
      </c>
      <c r="F302" s="195">
        <v>34951513</v>
      </c>
      <c r="G302" s="195">
        <v>735913.66</v>
      </c>
      <c r="H302" s="195">
        <v>13542860</v>
      </c>
      <c r="I302" s="195">
        <v>17972890.968703311</v>
      </c>
      <c r="J302" s="195">
        <v>836</v>
      </c>
      <c r="K302" s="195">
        <v>4555</v>
      </c>
      <c r="L302" s="195">
        <v>0</v>
      </c>
      <c r="M302" s="195">
        <v>78</v>
      </c>
      <c r="N302" s="195">
        <v>0</v>
      </c>
      <c r="O302" s="195">
        <v>0</v>
      </c>
      <c r="P302" s="195">
        <v>0</v>
      </c>
      <c r="Q302">
        <v>0</v>
      </c>
      <c r="R302">
        <v>0</v>
      </c>
      <c r="S302">
        <v>0</v>
      </c>
      <c r="T302">
        <v>3253</v>
      </c>
      <c r="U302">
        <v>2811</v>
      </c>
      <c r="V302">
        <v>50</v>
      </c>
      <c r="W302">
        <v>175</v>
      </c>
      <c r="X302">
        <v>519</v>
      </c>
      <c r="Y302">
        <v>40</v>
      </c>
      <c r="Z302" s="195">
        <v>108056000</v>
      </c>
      <c r="AA302" s="195">
        <v>107193000</v>
      </c>
      <c r="AD302" s="139" t="s">
        <v>191</v>
      </c>
    </row>
    <row r="303" spans="1:30" x14ac:dyDescent="0.2">
      <c r="A303" t="s">
        <v>695</v>
      </c>
      <c r="B303" s="194"/>
      <c r="C303" s="139" t="s">
        <v>234</v>
      </c>
      <c r="D303" s="194">
        <v>11869231.012303255</v>
      </c>
      <c r="E303" s="194">
        <v>773527</v>
      </c>
      <c r="F303" s="195">
        <v>5578470</v>
      </c>
      <c r="G303" s="195">
        <v>282734.58</v>
      </c>
      <c r="H303" s="195">
        <v>1589629</v>
      </c>
      <c r="I303" s="195">
        <v>1319770.5916351064</v>
      </c>
      <c r="J303" s="195">
        <v>471</v>
      </c>
      <c r="K303" s="195">
        <v>2123</v>
      </c>
      <c r="L303" s="195">
        <v>48</v>
      </c>
      <c r="M303" s="195">
        <v>40</v>
      </c>
      <c r="N303" s="195">
        <v>0</v>
      </c>
      <c r="O303" s="195">
        <v>0</v>
      </c>
      <c r="P303" s="195">
        <v>59</v>
      </c>
      <c r="Q303">
        <v>0</v>
      </c>
      <c r="R303">
        <v>0</v>
      </c>
      <c r="S303">
        <v>0</v>
      </c>
      <c r="T303">
        <v>1539</v>
      </c>
      <c r="U303">
        <v>1035</v>
      </c>
      <c r="V303">
        <v>209</v>
      </c>
      <c r="W303">
        <v>500</v>
      </c>
      <c r="X303">
        <v>310</v>
      </c>
      <c r="Y303">
        <v>27</v>
      </c>
      <c r="Z303" s="195">
        <v>33251000</v>
      </c>
      <c r="AA303" s="195">
        <v>34565000</v>
      </c>
      <c r="AD303" s="139" t="s">
        <v>234</v>
      </c>
    </row>
    <row r="304" spans="1:30" x14ac:dyDescent="0.2">
      <c r="A304" t="s">
        <v>691</v>
      </c>
      <c r="B304" s="194"/>
      <c r="C304" s="139" t="s">
        <v>353</v>
      </c>
      <c r="D304" s="194">
        <v>16643037.83032253</v>
      </c>
      <c r="E304" s="194">
        <v>1386332</v>
      </c>
      <c r="F304" s="195">
        <v>9490587</v>
      </c>
      <c r="G304" s="195">
        <v>264507.12</v>
      </c>
      <c r="H304" s="195">
        <v>3346505</v>
      </c>
      <c r="I304" s="195">
        <v>2395353.6855902094</v>
      </c>
      <c r="J304" s="195">
        <v>251</v>
      </c>
      <c r="K304" s="195">
        <v>2436</v>
      </c>
      <c r="L304" s="195">
        <v>100</v>
      </c>
      <c r="M304" s="195">
        <v>0</v>
      </c>
      <c r="N304" s="195">
        <v>0</v>
      </c>
      <c r="O304" s="195">
        <v>0</v>
      </c>
      <c r="P304" s="195">
        <v>0</v>
      </c>
      <c r="Q304">
        <v>0</v>
      </c>
      <c r="R304">
        <v>0</v>
      </c>
      <c r="S304">
        <v>0</v>
      </c>
      <c r="T304">
        <v>1523</v>
      </c>
      <c r="U304">
        <v>2844</v>
      </c>
      <c r="V304">
        <v>7</v>
      </c>
      <c r="W304">
        <v>294</v>
      </c>
      <c r="X304">
        <v>315</v>
      </c>
      <c r="Y304">
        <v>23</v>
      </c>
      <c r="Z304" s="195">
        <v>48297000</v>
      </c>
      <c r="AA304" s="195">
        <v>45632000</v>
      </c>
      <c r="AD304" s="139" t="s">
        <v>353</v>
      </c>
    </row>
    <row r="305" spans="1:30" x14ac:dyDescent="0.2">
      <c r="A305" t="s">
        <v>690</v>
      </c>
      <c r="B305" s="194"/>
      <c r="C305" s="139" t="s">
        <v>484</v>
      </c>
      <c r="D305" s="194">
        <v>18271097.211297244</v>
      </c>
      <c r="E305" s="194">
        <v>1849898</v>
      </c>
      <c r="F305" s="195">
        <v>10373940</v>
      </c>
      <c r="G305" s="195">
        <v>293159.04000000004</v>
      </c>
      <c r="H305" s="195">
        <v>4651664</v>
      </c>
      <c r="I305" s="195">
        <v>3026473.2292997953</v>
      </c>
      <c r="J305" s="195">
        <v>602</v>
      </c>
      <c r="K305" s="195">
        <v>3260</v>
      </c>
      <c r="L305" s="195">
        <v>187</v>
      </c>
      <c r="M305" s="195">
        <v>95</v>
      </c>
      <c r="N305" s="195">
        <v>54</v>
      </c>
      <c r="O305" s="195">
        <v>0</v>
      </c>
      <c r="P305" s="195">
        <v>10</v>
      </c>
      <c r="Q305">
        <v>0</v>
      </c>
      <c r="R305">
        <v>0</v>
      </c>
      <c r="S305">
        <v>1</v>
      </c>
      <c r="T305">
        <v>1526</v>
      </c>
      <c r="U305">
        <v>2881</v>
      </c>
      <c r="V305">
        <v>67</v>
      </c>
      <c r="W305">
        <v>601</v>
      </c>
      <c r="X305">
        <v>411</v>
      </c>
      <c r="Y305">
        <v>4</v>
      </c>
      <c r="Z305" s="195">
        <v>51763000</v>
      </c>
      <c r="AA305" s="195">
        <v>53045000</v>
      </c>
      <c r="AD305" s="139" t="s">
        <v>484</v>
      </c>
    </row>
    <row r="306" spans="1:30" x14ac:dyDescent="0.2">
      <c r="A306" t="s">
        <v>695</v>
      </c>
      <c r="B306" s="194"/>
      <c r="C306" s="139" t="s">
        <v>235</v>
      </c>
      <c r="D306" s="194">
        <v>37486098.551366381</v>
      </c>
      <c r="E306" s="194">
        <v>3572311</v>
      </c>
      <c r="F306" s="195">
        <v>24654609</v>
      </c>
      <c r="G306" s="195">
        <v>696865.72</v>
      </c>
      <c r="H306" s="195">
        <v>12755903</v>
      </c>
      <c r="I306" s="195">
        <v>8996204.7958848607</v>
      </c>
      <c r="J306" s="195">
        <v>1122</v>
      </c>
      <c r="K306" s="195">
        <v>5786</v>
      </c>
      <c r="L306" s="195">
        <v>194</v>
      </c>
      <c r="M306" s="195">
        <v>442</v>
      </c>
      <c r="N306" s="195">
        <v>0</v>
      </c>
      <c r="O306" s="195">
        <v>0</v>
      </c>
      <c r="P306" s="195">
        <v>801</v>
      </c>
      <c r="Q306">
        <v>11</v>
      </c>
      <c r="R306">
        <v>0</v>
      </c>
      <c r="S306">
        <v>0</v>
      </c>
      <c r="T306">
        <v>5426</v>
      </c>
      <c r="U306">
        <v>3171</v>
      </c>
      <c r="V306">
        <v>433</v>
      </c>
      <c r="W306">
        <v>1089</v>
      </c>
      <c r="X306">
        <v>614</v>
      </c>
      <c r="Y306">
        <v>18</v>
      </c>
      <c r="Z306" s="195">
        <v>122270000</v>
      </c>
      <c r="AA306" s="195">
        <v>121866000</v>
      </c>
      <c r="AD306" s="139" t="s">
        <v>235</v>
      </c>
    </row>
    <row r="307" spans="1:30" x14ac:dyDescent="0.2">
      <c r="A307" t="s">
        <v>699</v>
      </c>
      <c r="B307" s="194"/>
      <c r="C307" s="139" t="s">
        <v>522</v>
      </c>
      <c r="D307" s="194">
        <v>18111563.974478997</v>
      </c>
      <c r="E307" s="194">
        <v>2276179</v>
      </c>
      <c r="F307" s="195">
        <v>12400097</v>
      </c>
      <c r="G307" s="195">
        <v>349315.76</v>
      </c>
      <c r="H307" s="195">
        <v>4473921</v>
      </c>
      <c r="I307" s="195">
        <v>4662912.0899708038</v>
      </c>
      <c r="J307" s="195">
        <v>617</v>
      </c>
      <c r="K307" s="195">
        <v>4276</v>
      </c>
      <c r="L307" s="195">
        <v>206</v>
      </c>
      <c r="M307" s="195">
        <v>101</v>
      </c>
      <c r="N307" s="195">
        <v>0</v>
      </c>
      <c r="O307" s="195">
        <v>0</v>
      </c>
      <c r="P307" s="195">
        <v>0</v>
      </c>
      <c r="Q307">
        <v>0</v>
      </c>
      <c r="R307">
        <v>0</v>
      </c>
      <c r="S307">
        <v>0</v>
      </c>
      <c r="T307">
        <v>2615</v>
      </c>
      <c r="U307">
        <v>2502</v>
      </c>
      <c r="V307">
        <v>109</v>
      </c>
      <c r="W307">
        <v>434</v>
      </c>
      <c r="X307">
        <v>476</v>
      </c>
      <c r="Y307">
        <v>36</v>
      </c>
      <c r="Z307" s="195">
        <v>59770000</v>
      </c>
      <c r="AA307" s="195">
        <v>69170000</v>
      </c>
      <c r="AD307" s="139" t="s">
        <v>522</v>
      </c>
    </row>
    <row r="308" spans="1:30" x14ac:dyDescent="0.2">
      <c r="A308" t="s">
        <v>697</v>
      </c>
      <c r="B308" s="194"/>
      <c r="C308" s="139" t="s">
        <v>310</v>
      </c>
      <c r="D308" s="194">
        <v>45596600.24933961</v>
      </c>
      <c r="E308" s="194">
        <v>3546299</v>
      </c>
      <c r="F308" s="195">
        <v>19277713</v>
      </c>
      <c r="G308" s="195">
        <v>802274.26</v>
      </c>
      <c r="H308" s="195">
        <v>10598463</v>
      </c>
      <c r="I308" s="195">
        <v>4445807.3029489005</v>
      </c>
      <c r="J308" s="195">
        <v>1301</v>
      </c>
      <c r="K308" s="195">
        <v>11748</v>
      </c>
      <c r="L308" s="195">
        <v>263</v>
      </c>
      <c r="M308" s="195">
        <v>164</v>
      </c>
      <c r="N308" s="195">
        <v>0</v>
      </c>
      <c r="O308" s="195">
        <v>0</v>
      </c>
      <c r="P308" s="195">
        <v>107</v>
      </c>
      <c r="Q308">
        <v>55</v>
      </c>
      <c r="R308">
        <v>73</v>
      </c>
      <c r="S308">
        <v>75</v>
      </c>
      <c r="T308">
        <v>6848</v>
      </c>
      <c r="U308">
        <v>5322</v>
      </c>
      <c r="V308">
        <v>533</v>
      </c>
      <c r="W308">
        <v>1675</v>
      </c>
      <c r="X308">
        <v>1396</v>
      </c>
      <c r="Y308">
        <v>65</v>
      </c>
      <c r="Z308" s="195">
        <v>120247000</v>
      </c>
      <c r="AA308" s="195">
        <v>120242000</v>
      </c>
      <c r="AD308" s="139" t="s">
        <v>310</v>
      </c>
    </row>
    <row r="309" spans="1:30" x14ac:dyDescent="0.2">
      <c r="A309" t="s">
        <v>694</v>
      </c>
      <c r="B309" s="194"/>
      <c r="C309" s="139" t="s">
        <v>408</v>
      </c>
      <c r="D309" s="194">
        <v>6579417.9322842658</v>
      </c>
      <c r="E309" s="194">
        <v>627715</v>
      </c>
      <c r="F309" s="195">
        <v>3174729</v>
      </c>
      <c r="G309" s="195">
        <v>174002.3</v>
      </c>
      <c r="H309" s="195">
        <v>837543</v>
      </c>
      <c r="I309" s="195">
        <v>680492.88957304205</v>
      </c>
      <c r="J309" s="195">
        <v>257</v>
      </c>
      <c r="K309" s="195">
        <v>1203</v>
      </c>
      <c r="L309" s="195">
        <v>64</v>
      </c>
      <c r="M309" s="195">
        <v>29</v>
      </c>
      <c r="N309" s="195">
        <v>0</v>
      </c>
      <c r="O309" s="195">
        <v>0</v>
      </c>
      <c r="P309" s="195">
        <v>0</v>
      </c>
      <c r="Q309">
        <v>0</v>
      </c>
      <c r="R309">
        <v>108</v>
      </c>
      <c r="S309">
        <v>1</v>
      </c>
      <c r="T309">
        <v>914</v>
      </c>
      <c r="U309">
        <v>0</v>
      </c>
      <c r="V309">
        <v>134</v>
      </c>
      <c r="W309">
        <v>165</v>
      </c>
      <c r="X309">
        <v>162</v>
      </c>
      <c r="Y309">
        <v>3</v>
      </c>
      <c r="Z309" s="195">
        <v>17448000</v>
      </c>
      <c r="AA309" s="195">
        <v>18083000</v>
      </c>
      <c r="AD309" s="139" t="s">
        <v>408</v>
      </c>
    </row>
    <row r="310" spans="1:30" x14ac:dyDescent="0.2">
      <c r="A310" t="s">
        <v>693</v>
      </c>
      <c r="B310" s="194"/>
      <c r="C310" s="139" t="s">
        <v>543</v>
      </c>
      <c r="D310" s="194">
        <v>77562632.58513321</v>
      </c>
      <c r="E310" s="194">
        <v>6566434</v>
      </c>
      <c r="F310" s="195">
        <v>43905098</v>
      </c>
      <c r="G310" s="195">
        <v>1659761.59</v>
      </c>
      <c r="H310" s="195">
        <v>28982617</v>
      </c>
      <c r="I310" s="195">
        <v>14779001.629178306</v>
      </c>
      <c r="J310" s="195">
        <v>3526</v>
      </c>
      <c r="K310" s="195">
        <v>14104</v>
      </c>
      <c r="L310" s="195">
        <v>0</v>
      </c>
      <c r="M310" s="195">
        <v>1695</v>
      </c>
      <c r="N310" s="195">
        <v>0</v>
      </c>
      <c r="O310" s="195">
        <v>0</v>
      </c>
      <c r="P310" s="195">
        <v>694</v>
      </c>
      <c r="Q310">
        <v>2607</v>
      </c>
      <c r="R310">
        <v>2489</v>
      </c>
      <c r="S310">
        <v>7</v>
      </c>
      <c r="T310">
        <v>7646</v>
      </c>
      <c r="U310">
        <v>7862</v>
      </c>
      <c r="V310">
        <v>601</v>
      </c>
      <c r="W310">
        <v>1206</v>
      </c>
      <c r="X310">
        <v>1332</v>
      </c>
      <c r="Y310">
        <v>67</v>
      </c>
      <c r="Z310" s="195">
        <v>237802000</v>
      </c>
      <c r="AA310" s="195">
        <v>237803000</v>
      </c>
      <c r="AD310" s="139" t="s">
        <v>543</v>
      </c>
    </row>
    <row r="311" spans="1:30" x14ac:dyDescent="0.2">
      <c r="A311" t="s">
        <v>698</v>
      </c>
      <c r="B311" s="194"/>
      <c r="C311" s="139" t="s">
        <v>192</v>
      </c>
      <c r="D311" s="194">
        <v>5966864.0385615602</v>
      </c>
      <c r="E311" s="194">
        <v>433774</v>
      </c>
      <c r="F311" s="195">
        <v>3183957</v>
      </c>
      <c r="G311" s="195">
        <v>256264.8</v>
      </c>
      <c r="H311" s="195">
        <v>1310386</v>
      </c>
      <c r="I311" s="195">
        <v>770687.67356120283</v>
      </c>
      <c r="J311" s="195">
        <v>181</v>
      </c>
      <c r="K311" s="195">
        <v>1247</v>
      </c>
      <c r="L311" s="195">
        <v>0</v>
      </c>
      <c r="M311" s="195">
        <v>0</v>
      </c>
      <c r="N311" s="195">
        <v>0</v>
      </c>
      <c r="O311" s="195">
        <v>0</v>
      </c>
      <c r="P311" s="195">
        <v>0</v>
      </c>
      <c r="Q311">
        <v>0</v>
      </c>
      <c r="R311">
        <v>0</v>
      </c>
      <c r="S311">
        <v>0</v>
      </c>
      <c r="T311">
        <v>849</v>
      </c>
      <c r="U311">
        <v>808</v>
      </c>
      <c r="V311">
        <v>41</v>
      </c>
      <c r="W311">
        <v>113</v>
      </c>
      <c r="X311">
        <v>115</v>
      </c>
      <c r="Y311">
        <v>6</v>
      </c>
      <c r="Z311" s="195">
        <v>15719000</v>
      </c>
      <c r="AA311" s="195">
        <v>15294000</v>
      </c>
      <c r="AD311" s="139" t="s">
        <v>192</v>
      </c>
    </row>
    <row r="312" spans="1:30" x14ac:dyDescent="0.2">
      <c r="A312" t="s">
        <v>701</v>
      </c>
      <c r="B312" s="194"/>
      <c r="C312" s="139" t="s">
        <v>430</v>
      </c>
      <c r="D312" s="194">
        <v>45831219.046386585</v>
      </c>
      <c r="E312" s="194">
        <v>4951578</v>
      </c>
      <c r="F312" s="195">
        <v>29555029</v>
      </c>
      <c r="G312" s="195">
        <v>1704954.98</v>
      </c>
      <c r="H312" s="195">
        <v>14979293</v>
      </c>
      <c r="I312" s="195">
        <v>12134896.800236395</v>
      </c>
      <c r="J312" s="195">
        <v>3984</v>
      </c>
      <c r="K312" s="195">
        <v>11512</v>
      </c>
      <c r="L312" s="195">
        <v>375</v>
      </c>
      <c r="M312" s="195">
        <v>176</v>
      </c>
      <c r="N312" s="195">
        <v>0</v>
      </c>
      <c r="O312" s="195">
        <v>0</v>
      </c>
      <c r="P312" s="195">
        <v>284</v>
      </c>
      <c r="Q312">
        <v>1183</v>
      </c>
      <c r="R312">
        <v>1443</v>
      </c>
      <c r="S312">
        <v>0</v>
      </c>
      <c r="T312">
        <v>4536</v>
      </c>
      <c r="U312">
        <v>8027</v>
      </c>
      <c r="V312">
        <v>631</v>
      </c>
      <c r="W312">
        <v>1093</v>
      </c>
      <c r="X312">
        <v>991</v>
      </c>
      <c r="Y312">
        <v>51</v>
      </c>
      <c r="Z312" s="195">
        <v>142450000</v>
      </c>
      <c r="AA312" s="195">
        <v>141685000</v>
      </c>
      <c r="AD312" s="139" t="s">
        <v>430</v>
      </c>
    </row>
    <row r="313" spans="1:30" x14ac:dyDescent="0.2">
      <c r="A313" t="s">
        <v>693</v>
      </c>
      <c r="B313" s="194"/>
      <c r="C313" s="139" t="s">
        <v>213</v>
      </c>
      <c r="D313" s="194">
        <v>6107622.5284289094</v>
      </c>
      <c r="E313" s="194">
        <v>289935</v>
      </c>
      <c r="F313" s="195">
        <v>1387214</v>
      </c>
      <c r="G313" s="195">
        <v>91861.02</v>
      </c>
      <c r="H313" s="195">
        <v>342342</v>
      </c>
      <c r="I313" s="195">
        <v>298990.82673656044</v>
      </c>
      <c r="J313" s="195">
        <v>241</v>
      </c>
      <c r="K313" s="195">
        <v>1136</v>
      </c>
      <c r="L313" s="195">
        <v>0</v>
      </c>
      <c r="M313" s="195">
        <v>2830</v>
      </c>
      <c r="N313" s="195">
        <v>0</v>
      </c>
      <c r="O313" s="195">
        <v>0</v>
      </c>
      <c r="P313" s="195">
        <v>543</v>
      </c>
      <c r="Q313">
        <v>0</v>
      </c>
      <c r="R313">
        <v>69</v>
      </c>
      <c r="S313">
        <v>0</v>
      </c>
      <c r="T313">
        <v>823</v>
      </c>
      <c r="U313">
        <v>726</v>
      </c>
      <c r="V313">
        <v>8</v>
      </c>
      <c r="W313">
        <v>207</v>
      </c>
      <c r="X313">
        <v>141</v>
      </c>
      <c r="Y313">
        <v>0</v>
      </c>
      <c r="Z313" s="195">
        <v>21411000</v>
      </c>
      <c r="AA313" s="195">
        <v>21213000</v>
      </c>
      <c r="AD313" s="139" t="s">
        <v>213</v>
      </c>
    </row>
    <row r="314" spans="1:30" x14ac:dyDescent="0.2">
      <c r="A314" t="s">
        <v>691</v>
      </c>
      <c r="B314" s="194"/>
      <c r="C314" s="139" t="s">
        <v>354</v>
      </c>
      <c r="D314" s="194">
        <v>14259043.266186103</v>
      </c>
      <c r="E314" s="194">
        <v>977809</v>
      </c>
      <c r="F314" s="195">
        <v>6847073</v>
      </c>
      <c r="G314" s="195">
        <v>304623.64</v>
      </c>
      <c r="H314" s="195">
        <v>1536939</v>
      </c>
      <c r="I314" s="195">
        <v>2875268.7956428677</v>
      </c>
      <c r="J314" s="195">
        <v>360</v>
      </c>
      <c r="K314" s="195">
        <v>1440</v>
      </c>
      <c r="L314" s="195">
        <v>0</v>
      </c>
      <c r="M314" s="195">
        <v>4368</v>
      </c>
      <c r="N314" s="195">
        <v>0</v>
      </c>
      <c r="O314" s="195">
        <v>0</v>
      </c>
      <c r="P314" s="195">
        <v>1062</v>
      </c>
      <c r="Q314">
        <v>1306</v>
      </c>
      <c r="R314">
        <v>103</v>
      </c>
      <c r="S314">
        <v>0</v>
      </c>
      <c r="T314">
        <v>2908</v>
      </c>
      <c r="U314">
        <v>1724</v>
      </c>
      <c r="V314">
        <v>53</v>
      </c>
      <c r="W314">
        <v>842</v>
      </c>
      <c r="X314">
        <v>274</v>
      </c>
      <c r="Y314">
        <v>21</v>
      </c>
      <c r="Z314" s="195">
        <v>56279000</v>
      </c>
      <c r="AA314" s="195">
        <v>56132000</v>
      </c>
      <c r="AD314" s="139" t="s">
        <v>354</v>
      </c>
    </row>
    <row r="315" spans="1:30" x14ac:dyDescent="0.2">
      <c r="A315" t="s">
        <v>694</v>
      </c>
      <c r="B315" s="194"/>
      <c r="C315" s="139" t="s">
        <v>409</v>
      </c>
      <c r="D315" s="194">
        <v>23791715.950127989</v>
      </c>
      <c r="E315" s="194">
        <v>1957924</v>
      </c>
      <c r="F315" s="195">
        <v>12670809</v>
      </c>
      <c r="G315" s="195">
        <v>333179.28000000003</v>
      </c>
      <c r="H315" s="195">
        <v>4033449</v>
      </c>
      <c r="I315" s="195">
        <v>3013331.3492102223</v>
      </c>
      <c r="J315" s="195">
        <v>782</v>
      </c>
      <c r="K315" s="195">
        <v>4360</v>
      </c>
      <c r="L315" s="195">
        <v>0</v>
      </c>
      <c r="M315" s="195">
        <v>0</v>
      </c>
      <c r="N315" s="195">
        <v>0</v>
      </c>
      <c r="O315" s="195">
        <v>0</v>
      </c>
      <c r="P315" s="195">
        <v>116</v>
      </c>
      <c r="Q315">
        <v>11</v>
      </c>
      <c r="R315">
        <v>2690</v>
      </c>
      <c r="S315">
        <v>10</v>
      </c>
      <c r="T315">
        <v>2494</v>
      </c>
      <c r="U315">
        <v>4115</v>
      </c>
      <c r="V315">
        <v>0</v>
      </c>
      <c r="W315">
        <v>998</v>
      </c>
      <c r="X315">
        <v>515</v>
      </c>
      <c r="Y315">
        <v>37</v>
      </c>
      <c r="Z315" s="195">
        <v>76982000</v>
      </c>
      <c r="AA315" s="195">
        <v>81341000</v>
      </c>
      <c r="AD315" s="139" t="s">
        <v>409</v>
      </c>
    </row>
    <row r="316" spans="1:30" x14ac:dyDescent="0.2">
      <c r="A316" t="s">
        <v>701</v>
      </c>
      <c r="B316" s="194"/>
      <c r="C316" s="139" t="s">
        <v>431</v>
      </c>
      <c r="D316" s="194">
        <v>19897956.679014735</v>
      </c>
      <c r="E316" s="194">
        <v>1922645</v>
      </c>
      <c r="F316" s="195">
        <v>11059593</v>
      </c>
      <c r="G316" s="195">
        <v>498959.72</v>
      </c>
      <c r="H316" s="195">
        <v>4461987</v>
      </c>
      <c r="I316" s="195">
        <v>2675797.540064502</v>
      </c>
      <c r="J316" s="195">
        <v>636</v>
      </c>
      <c r="K316" s="195">
        <v>3169</v>
      </c>
      <c r="L316" s="195">
        <v>193</v>
      </c>
      <c r="M316" s="195">
        <v>207</v>
      </c>
      <c r="N316" s="195">
        <v>0</v>
      </c>
      <c r="O316" s="195">
        <v>0</v>
      </c>
      <c r="P316" s="195">
        <v>81</v>
      </c>
      <c r="Q316">
        <v>0</v>
      </c>
      <c r="R316">
        <v>415</v>
      </c>
      <c r="S316">
        <v>0</v>
      </c>
      <c r="T316">
        <v>2244</v>
      </c>
      <c r="U316">
        <v>2853</v>
      </c>
      <c r="V316">
        <v>503</v>
      </c>
      <c r="W316">
        <v>489</v>
      </c>
      <c r="X316">
        <v>377</v>
      </c>
      <c r="Y316">
        <v>0</v>
      </c>
      <c r="Z316" s="195">
        <v>56445000</v>
      </c>
      <c r="AA316" s="195">
        <v>58396000</v>
      </c>
      <c r="AD316" s="139" t="s">
        <v>431</v>
      </c>
    </row>
    <row r="317" spans="1:30" x14ac:dyDescent="0.2">
      <c r="A317" t="s">
        <v>692</v>
      </c>
      <c r="B317" s="194"/>
      <c r="C317" s="139" t="s">
        <v>284</v>
      </c>
      <c r="D317" s="194">
        <v>37484324.634319164</v>
      </c>
      <c r="E317" s="194">
        <v>2891592</v>
      </c>
      <c r="F317" s="195">
        <v>25268735</v>
      </c>
      <c r="G317" s="195">
        <v>835682.66</v>
      </c>
      <c r="H317" s="195">
        <v>15420450</v>
      </c>
      <c r="I317" s="195">
        <v>9855632.1569833569</v>
      </c>
      <c r="J317" s="195">
        <v>1300</v>
      </c>
      <c r="K317" s="195">
        <v>5900</v>
      </c>
      <c r="L317" s="195">
        <v>240</v>
      </c>
      <c r="M317" s="195">
        <v>40</v>
      </c>
      <c r="N317" s="195">
        <v>500</v>
      </c>
      <c r="O317" s="195">
        <v>0</v>
      </c>
      <c r="P317" s="195">
        <v>0</v>
      </c>
      <c r="Q317">
        <v>1606</v>
      </c>
      <c r="R317">
        <v>1290</v>
      </c>
      <c r="S317">
        <v>0</v>
      </c>
      <c r="T317">
        <v>3295</v>
      </c>
      <c r="U317">
        <v>0</v>
      </c>
      <c r="V317">
        <v>223</v>
      </c>
      <c r="W317">
        <v>555</v>
      </c>
      <c r="X317">
        <v>648</v>
      </c>
      <c r="Y317">
        <v>38</v>
      </c>
      <c r="Z317" s="195">
        <v>123990000</v>
      </c>
      <c r="AA317" s="195">
        <v>122821000</v>
      </c>
      <c r="AD317" s="139" t="s">
        <v>284</v>
      </c>
    </row>
    <row r="318" spans="1:30" x14ac:dyDescent="0.2">
      <c r="A318" t="s">
        <v>690</v>
      </c>
      <c r="B318" s="194"/>
      <c r="C318" s="139" t="s">
        <v>485</v>
      </c>
      <c r="D318" s="194">
        <v>201969495.63093716</v>
      </c>
      <c r="E318" s="194">
        <v>15745437</v>
      </c>
      <c r="F318" s="195">
        <v>168848587</v>
      </c>
      <c r="G318" s="195">
        <v>18836034.490000002</v>
      </c>
      <c r="H318" s="195">
        <v>98084936</v>
      </c>
      <c r="I318" s="195">
        <v>43279821.217647746</v>
      </c>
      <c r="J318" s="195">
        <v>8431</v>
      </c>
      <c r="K318" s="195">
        <v>29871</v>
      </c>
      <c r="L318" s="195">
        <v>1544</v>
      </c>
      <c r="M318" s="195">
        <v>210</v>
      </c>
      <c r="N318" s="195">
        <v>875</v>
      </c>
      <c r="O318" s="195">
        <v>7</v>
      </c>
      <c r="P318" s="195">
        <v>0</v>
      </c>
      <c r="Q318">
        <v>10532</v>
      </c>
      <c r="R318">
        <v>831</v>
      </c>
      <c r="S318">
        <v>0</v>
      </c>
      <c r="T318">
        <v>14183</v>
      </c>
      <c r="U318">
        <v>22890</v>
      </c>
      <c r="V318">
        <v>322</v>
      </c>
      <c r="W318">
        <v>5645</v>
      </c>
      <c r="X318">
        <v>3507</v>
      </c>
      <c r="Y318">
        <v>330</v>
      </c>
      <c r="Z318" s="195">
        <v>745255000</v>
      </c>
      <c r="AA318" s="195">
        <v>807980000</v>
      </c>
      <c r="AD318" s="139" t="s">
        <v>485</v>
      </c>
    </row>
    <row r="319" spans="1:30" x14ac:dyDescent="0.2">
      <c r="A319" t="s">
        <v>695</v>
      </c>
      <c r="B319" s="194"/>
      <c r="C319" s="139" t="s">
        <v>236</v>
      </c>
      <c r="D319" s="194">
        <v>14486972.434139583</v>
      </c>
      <c r="E319" s="194">
        <v>1311217</v>
      </c>
      <c r="F319" s="195">
        <v>7568491</v>
      </c>
      <c r="G319" s="195">
        <v>308463.02</v>
      </c>
      <c r="H319" s="195">
        <v>1935268</v>
      </c>
      <c r="I319" s="195">
        <v>2486299.4672924536</v>
      </c>
      <c r="J319" s="195">
        <v>640</v>
      </c>
      <c r="K319" s="195">
        <v>3228</v>
      </c>
      <c r="L319" s="195">
        <v>0</v>
      </c>
      <c r="M319" s="195">
        <v>180</v>
      </c>
      <c r="N319" s="195">
        <v>0</v>
      </c>
      <c r="O319" s="195">
        <v>1</v>
      </c>
      <c r="P319" s="195">
        <v>53</v>
      </c>
      <c r="Q319">
        <v>0</v>
      </c>
      <c r="R319">
        <v>0</v>
      </c>
      <c r="S319">
        <v>0</v>
      </c>
      <c r="T319">
        <v>1835</v>
      </c>
      <c r="U319">
        <v>1277</v>
      </c>
      <c r="V319">
        <v>0</v>
      </c>
      <c r="W319">
        <v>461</v>
      </c>
      <c r="X319">
        <v>295</v>
      </c>
      <c r="Y319">
        <v>3</v>
      </c>
      <c r="Z319" s="195">
        <v>43472000</v>
      </c>
      <c r="AA319" s="195">
        <v>44539000</v>
      </c>
      <c r="AD319" s="139" t="s">
        <v>236</v>
      </c>
    </row>
    <row r="320" spans="1:30" x14ac:dyDescent="0.2">
      <c r="A320" t="s">
        <v>695</v>
      </c>
      <c r="B320" s="194"/>
      <c r="C320" s="139" t="s">
        <v>237</v>
      </c>
      <c r="D320" s="194">
        <v>24492201.343731433</v>
      </c>
      <c r="E320" s="194">
        <v>2449080</v>
      </c>
      <c r="F320" s="195">
        <v>21532923</v>
      </c>
      <c r="G320" s="195">
        <v>478901.76000000001</v>
      </c>
      <c r="H320" s="195">
        <v>7214133</v>
      </c>
      <c r="I320" s="195">
        <v>9112186.4040260781</v>
      </c>
      <c r="J320" s="195">
        <v>612</v>
      </c>
      <c r="K320" s="195">
        <v>4216</v>
      </c>
      <c r="L320" s="195">
        <v>172</v>
      </c>
      <c r="M320" s="195">
        <v>38</v>
      </c>
      <c r="N320" s="195">
        <v>0</v>
      </c>
      <c r="O320" s="195">
        <v>2</v>
      </c>
      <c r="P320" s="195">
        <v>5</v>
      </c>
      <c r="Q320">
        <v>0</v>
      </c>
      <c r="R320">
        <v>0</v>
      </c>
      <c r="S320">
        <v>0</v>
      </c>
      <c r="T320">
        <v>3271</v>
      </c>
      <c r="U320">
        <v>1883</v>
      </c>
      <c r="V320">
        <v>580</v>
      </c>
      <c r="W320">
        <v>500</v>
      </c>
      <c r="X320">
        <v>411</v>
      </c>
      <c r="Y320">
        <v>0</v>
      </c>
      <c r="Z320" s="195">
        <v>78562000</v>
      </c>
      <c r="AA320" s="195">
        <v>81210000</v>
      </c>
      <c r="AD320" s="139" t="s">
        <v>237</v>
      </c>
    </row>
    <row r="321" spans="1:30" x14ac:dyDescent="0.2">
      <c r="A321" t="s">
        <v>689</v>
      </c>
      <c r="B321" s="194"/>
      <c r="C321" s="139" t="s">
        <v>170</v>
      </c>
      <c r="D321" s="194">
        <v>22788482.299286664</v>
      </c>
      <c r="E321" s="194">
        <v>2397141</v>
      </c>
      <c r="F321" s="195">
        <v>12032521</v>
      </c>
      <c r="G321" s="195">
        <v>408966.42</v>
      </c>
      <c r="H321" s="195">
        <v>6506311</v>
      </c>
      <c r="I321" s="195">
        <v>2807323.0737426048</v>
      </c>
      <c r="J321" s="195">
        <v>434</v>
      </c>
      <c r="K321" s="195">
        <v>4591</v>
      </c>
      <c r="L321" s="195">
        <v>0</v>
      </c>
      <c r="M321" s="195">
        <v>332</v>
      </c>
      <c r="N321" s="195">
        <v>0</v>
      </c>
      <c r="O321" s="195">
        <v>0</v>
      </c>
      <c r="P321" s="195">
        <v>48</v>
      </c>
      <c r="Q321">
        <v>0</v>
      </c>
      <c r="R321">
        <v>0</v>
      </c>
      <c r="S321">
        <v>0</v>
      </c>
      <c r="T321">
        <v>3200</v>
      </c>
      <c r="U321">
        <v>2976</v>
      </c>
      <c r="V321">
        <v>491</v>
      </c>
      <c r="W321">
        <v>871</v>
      </c>
      <c r="X321">
        <v>631</v>
      </c>
      <c r="Y321">
        <v>222</v>
      </c>
      <c r="Z321" s="195">
        <v>76304000</v>
      </c>
      <c r="AA321" s="195">
        <v>76635000</v>
      </c>
      <c r="AD321" s="139" t="s">
        <v>170</v>
      </c>
    </row>
    <row r="322" spans="1:30" x14ac:dyDescent="0.2">
      <c r="A322" t="s">
        <v>693</v>
      </c>
      <c r="B322" s="194"/>
      <c r="C322" s="139" t="s">
        <v>214</v>
      </c>
      <c r="D322" s="194">
        <v>25465155.519297585</v>
      </c>
      <c r="E322" s="194">
        <v>2505855</v>
      </c>
      <c r="F322" s="195">
        <v>15483837</v>
      </c>
      <c r="G322" s="195">
        <v>627913.28</v>
      </c>
      <c r="H322" s="195">
        <v>7785404</v>
      </c>
      <c r="I322" s="195">
        <v>4670421.7236844357</v>
      </c>
      <c r="J322" s="195">
        <v>967</v>
      </c>
      <c r="K322" s="195">
        <v>6595</v>
      </c>
      <c r="L322" s="195">
        <v>0</v>
      </c>
      <c r="M322" s="195">
        <v>314</v>
      </c>
      <c r="N322" s="195">
        <v>46</v>
      </c>
      <c r="O322" s="195">
        <v>0</v>
      </c>
      <c r="P322" s="195">
        <v>0</v>
      </c>
      <c r="Q322">
        <v>0</v>
      </c>
      <c r="R322">
        <v>1451</v>
      </c>
      <c r="S322">
        <v>0</v>
      </c>
      <c r="T322">
        <v>2426</v>
      </c>
      <c r="U322">
        <v>2221</v>
      </c>
      <c r="V322">
        <v>15</v>
      </c>
      <c r="W322">
        <v>481</v>
      </c>
      <c r="X322">
        <v>526</v>
      </c>
      <c r="Y322">
        <v>9</v>
      </c>
      <c r="Z322" s="195">
        <v>73489000</v>
      </c>
      <c r="AA322" s="195">
        <v>73701000</v>
      </c>
      <c r="AD322" s="139" t="s">
        <v>214</v>
      </c>
    </row>
    <row r="323" spans="1:30" x14ac:dyDescent="0.2">
      <c r="A323" t="s">
        <v>690</v>
      </c>
      <c r="B323" s="194"/>
      <c r="C323" s="139" t="s">
        <v>486</v>
      </c>
      <c r="D323" s="194">
        <v>32036980.472670518</v>
      </c>
      <c r="E323" s="194">
        <v>2981960</v>
      </c>
      <c r="F323" s="195">
        <v>22707141</v>
      </c>
      <c r="G323" s="195">
        <v>696349.06</v>
      </c>
      <c r="H323" s="195">
        <v>9605316</v>
      </c>
      <c r="I323" s="195">
        <v>9009457.9728303663</v>
      </c>
      <c r="J323" s="195">
        <v>1929</v>
      </c>
      <c r="K323" s="195">
        <v>6727</v>
      </c>
      <c r="L323" s="195">
        <v>0</v>
      </c>
      <c r="M323" s="195">
        <v>0</v>
      </c>
      <c r="N323" s="195">
        <v>209</v>
      </c>
      <c r="O323" s="195">
        <v>0</v>
      </c>
      <c r="P323" s="195">
        <v>0</v>
      </c>
      <c r="Q323">
        <v>2929</v>
      </c>
      <c r="R323">
        <v>0</v>
      </c>
      <c r="S323">
        <v>0</v>
      </c>
      <c r="T323">
        <v>3889</v>
      </c>
      <c r="U323">
        <v>5196</v>
      </c>
      <c r="V323">
        <v>153</v>
      </c>
      <c r="W323">
        <v>1138</v>
      </c>
      <c r="X323">
        <v>710</v>
      </c>
      <c r="Y323">
        <v>97</v>
      </c>
      <c r="Z323" s="195">
        <v>110340000</v>
      </c>
      <c r="AA323" s="195">
        <v>109840000</v>
      </c>
      <c r="AD323" s="139" t="s">
        <v>486</v>
      </c>
    </row>
    <row r="324" spans="1:30" x14ac:dyDescent="0.2">
      <c r="A324" t="s">
        <v>691</v>
      </c>
      <c r="B324" s="194"/>
      <c r="C324" s="139" t="s">
        <v>355</v>
      </c>
      <c r="D324" s="194">
        <v>8599646.9037647098</v>
      </c>
      <c r="E324" s="194">
        <v>602126</v>
      </c>
      <c r="F324" s="195">
        <v>3746854</v>
      </c>
      <c r="G324" s="195">
        <v>128380.26</v>
      </c>
      <c r="H324" s="195">
        <v>1699077</v>
      </c>
      <c r="I324" s="195">
        <v>799258.68129253667</v>
      </c>
      <c r="J324" s="195">
        <v>257</v>
      </c>
      <c r="K324" s="195">
        <v>2284</v>
      </c>
      <c r="L324" s="195">
        <v>49</v>
      </c>
      <c r="M324" s="195">
        <v>24</v>
      </c>
      <c r="N324" s="195">
        <v>0</v>
      </c>
      <c r="O324" s="195">
        <v>0</v>
      </c>
      <c r="P324" s="195">
        <v>6</v>
      </c>
      <c r="Q324">
        <v>0</v>
      </c>
      <c r="R324">
        <v>12</v>
      </c>
      <c r="S324">
        <v>3</v>
      </c>
      <c r="T324">
        <v>886</v>
      </c>
      <c r="U324">
        <v>1115</v>
      </c>
      <c r="V324">
        <v>8</v>
      </c>
      <c r="W324">
        <v>150</v>
      </c>
      <c r="X324">
        <v>224</v>
      </c>
      <c r="Y324">
        <v>1</v>
      </c>
      <c r="Z324" s="195">
        <v>20756000</v>
      </c>
      <c r="AA324" s="195">
        <v>21651000</v>
      </c>
      <c r="AD324" s="139" t="s">
        <v>355</v>
      </c>
    </row>
    <row r="325" spans="1:30" x14ac:dyDescent="0.2">
      <c r="A325" t="s">
        <v>691</v>
      </c>
      <c r="B325" s="194"/>
      <c r="C325" s="139" t="s">
        <v>356</v>
      </c>
      <c r="D325" s="194">
        <v>22570372.28003221</v>
      </c>
      <c r="E325" s="194">
        <v>1815277</v>
      </c>
      <c r="F325" s="195">
        <v>9161156</v>
      </c>
      <c r="G325" s="195">
        <v>368374.04000000004</v>
      </c>
      <c r="H325" s="195">
        <v>5069098</v>
      </c>
      <c r="I325" s="195">
        <v>1636945.1941644601</v>
      </c>
      <c r="J325" s="195">
        <v>1145</v>
      </c>
      <c r="K325" s="195">
        <v>5218</v>
      </c>
      <c r="L325" s="195">
        <v>144</v>
      </c>
      <c r="M325" s="195">
        <v>0</v>
      </c>
      <c r="N325" s="195">
        <v>0</v>
      </c>
      <c r="O325" s="195">
        <v>0</v>
      </c>
      <c r="P325" s="195">
        <v>12</v>
      </c>
      <c r="Q325">
        <v>0</v>
      </c>
      <c r="R325">
        <v>32</v>
      </c>
      <c r="S325">
        <v>0</v>
      </c>
      <c r="T325">
        <v>3314</v>
      </c>
      <c r="U325">
        <v>3119</v>
      </c>
      <c r="V325">
        <v>322</v>
      </c>
      <c r="W325">
        <v>618</v>
      </c>
      <c r="X325">
        <v>509</v>
      </c>
      <c r="Y325">
        <v>21</v>
      </c>
      <c r="Z325" s="195">
        <v>70552000</v>
      </c>
      <c r="AA325" s="195">
        <v>70837000</v>
      </c>
      <c r="AD325" s="139" t="s">
        <v>356</v>
      </c>
    </row>
    <row r="326" spans="1:30" x14ac:dyDescent="0.2">
      <c r="A326" t="s">
        <v>696</v>
      </c>
      <c r="B326" s="194"/>
      <c r="C326" s="139" t="s">
        <v>533</v>
      </c>
      <c r="D326" s="194">
        <v>13702400.230481032</v>
      </c>
      <c r="E326" s="194">
        <v>645769</v>
      </c>
      <c r="F326" s="195">
        <v>9181069</v>
      </c>
      <c r="G326" s="195">
        <v>325249.52</v>
      </c>
      <c r="H326" s="195">
        <v>1637426</v>
      </c>
      <c r="I326" s="195">
        <v>1778339.6518263526</v>
      </c>
      <c r="J326" s="195">
        <v>615</v>
      </c>
      <c r="K326" s="195">
        <v>3093</v>
      </c>
      <c r="L326" s="195">
        <v>57</v>
      </c>
      <c r="M326" s="195">
        <v>29</v>
      </c>
      <c r="N326" s="195">
        <v>0</v>
      </c>
      <c r="O326" s="195">
        <v>0</v>
      </c>
      <c r="P326" s="195">
        <v>0</v>
      </c>
      <c r="Q326">
        <v>0</v>
      </c>
      <c r="R326">
        <v>18</v>
      </c>
      <c r="S326">
        <v>0</v>
      </c>
      <c r="T326">
        <v>1872</v>
      </c>
      <c r="U326">
        <v>1242</v>
      </c>
      <c r="V326">
        <v>292</v>
      </c>
      <c r="W326">
        <v>363</v>
      </c>
      <c r="X326">
        <v>282</v>
      </c>
      <c r="Y326">
        <v>29</v>
      </c>
      <c r="Z326" s="195">
        <v>42343037</v>
      </c>
      <c r="AA326" s="195">
        <v>42717826</v>
      </c>
      <c r="AD326" s="139" t="s">
        <v>533</v>
      </c>
    </row>
    <row r="327" spans="1:30" x14ac:dyDescent="0.2">
      <c r="A327" t="s">
        <v>697</v>
      </c>
      <c r="B327" s="194"/>
      <c r="C327" s="139" t="s">
        <v>311</v>
      </c>
      <c r="D327" s="194">
        <v>379323574.20957804</v>
      </c>
      <c r="E327" s="194">
        <v>15427724</v>
      </c>
      <c r="F327" s="195">
        <v>192898240</v>
      </c>
      <c r="G327" s="195">
        <v>39115678.200000003</v>
      </c>
      <c r="H327" s="195">
        <v>126281508</v>
      </c>
      <c r="I327" s="195">
        <v>30623082.980042711</v>
      </c>
      <c r="J327" s="195">
        <v>22240</v>
      </c>
      <c r="K327" s="195">
        <v>68006</v>
      </c>
      <c r="L327" s="195">
        <v>612</v>
      </c>
      <c r="M327" s="195">
        <v>1591</v>
      </c>
      <c r="N327" s="195">
        <v>0</v>
      </c>
      <c r="O327" s="195">
        <v>0</v>
      </c>
      <c r="P327" s="195">
        <v>0</v>
      </c>
      <c r="Q327">
        <v>29926</v>
      </c>
      <c r="R327">
        <v>562</v>
      </c>
      <c r="S327">
        <v>0</v>
      </c>
      <c r="T327">
        <v>38283</v>
      </c>
      <c r="U327">
        <v>31999</v>
      </c>
      <c r="V327">
        <v>884</v>
      </c>
      <c r="W327">
        <v>13430</v>
      </c>
      <c r="X327">
        <v>6588</v>
      </c>
      <c r="Y327">
        <v>697</v>
      </c>
      <c r="Z327" s="195">
        <v>1367608008</v>
      </c>
      <c r="AA327" s="195">
        <v>1421774008</v>
      </c>
      <c r="AD327" s="139" t="s">
        <v>311</v>
      </c>
    </row>
    <row r="328" spans="1:30" x14ac:dyDescent="0.2">
      <c r="A328" t="s">
        <v>697</v>
      </c>
      <c r="B328" s="194"/>
      <c r="C328" s="139" t="s">
        <v>312</v>
      </c>
      <c r="D328" s="194">
        <v>33462404.598321252</v>
      </c>
      <c r="E328" s="194">
        <v>3439623</v>
      </c>
      <c r="F328" s="195">
        <v>16718384</v>
      </c>
      <c r="G328" s="195">
        <v>633452.80000000005</v>
      </c>
      <c r="H328" s="195">
        <v>7670380</v>
      </c>
      <c r="I328" s="195">
        <v>2569644.1303006262</v>
      </c>
      <c r="J328" s="195">
        <v>1203</v>
      </c>
      <c r="K328" s="195">
        <v>8565</v>
      </c>
      <c r="L328" s="195">
        <v>282</v>
      </c>
      <c r="M328" s="195">
        <v>823</v>
      </c>
      <c r="N328" s="195">
        <v>0</v>
      </c>
      <c r="O328" s="195">
        <v>0</v>
      </c>
      <c r="P328" s="195">
        <v>263</v>
      </c>
      <c r="Q328">
        <v>0</v>
      </c>
      <c r="R328">
        <v>738</v>
      </c>
      <c r="S328">
        <v>0</v>
      </c>
      <c r="T328">
        <v>5345</v>
      </c>
      <c r="U328">
        <v>4070</v>
      </c>
      <c r="V328">
        <v>848</v>
      </c>
      <c r="W328">
        <v>1124</v>
      </c>
      <c r="X328">
        <v>893</v>
      </c>
      <c r="Y328">
        <v>112</v>
      </c>
      <c r="Z328" s="195">
        <v>103362000</v>
      </c>
      <c r="AA328" s="195">
        <v>103135000</v>
      </c>
      <c r="AD328" s="139" t="s">
        <v>312</v>
      </c>
    </row>
    <row r="329" spans="1:30" x14ac:dyDescent="0.2">
      <c r="A329" t="s">
        <v>699</v>
      </c>
      <c r="B329" s="194"/>
      <c r="C329" s="139" t="s">
        <v>523</v>
      </c>
      <c r="D329" s="194">
        <v>8409502.2199921329</v>
      </c>
      <c r="E329" s="194">
        <v>973439</v>
      </c>
      <c r="F329" s="195">
        <v>5014101</v>
      </c>
      <c r="G329" s="195">
        <v>181521.32</v>
      </c>
      <c r="H329" s="195">
        <v>3907031</v>
      </c>
      <c r="I329" s="195">
        <v>2292797.5576414689</v>
      </c>
      <c r="J329" s="195">
        <v>199</v>
      </c>
      <c r="K329" s="195">
        <v>1445</v>
      </c>
      <c r="L329" s="195">
        <v>35</v>
      </c>
      <c r="M329" s="195">
        <v>828</v>
      </c>
      <c r="N329" s="195">
        <v>33</v>
      </c>
      <c r="O329" s="195">
        <v>13</v>
      </c>
      <c r="P329" s="195">
        <v>14</v>
      </c>
      <c r="Q329">
        <v>675</v>
      </c>
      <c r="R329">
        <v>0</v>
      </c>
      <c r="S329">
        <v>0</v>
      </c>
      <c r="T329">
        <v>1338</v>
      </c>
      <c r="U329">
        <v>1275</v>
      </c>
      <c r="V329">
        <v>0</v>
      </c>
      <c r="W329">
        <v>101</v>
      </c>
      <c r="X329">
        <v>138</v>
      </c>
      <c r="Y329">
        <v>53</v>
      </c>
      <c r="Z329" s="195">
        <v>28191000</v>
      </c>
      <c r="AA329" s="195">
        <v>28787000</v>
      </c>
      <c r="AD329" s="139" t="s">
        <v>523</v>
      </c>
    </row>
    <row r="330" spans="1:30" x14ac:dyDescent="0.2">
      <c r="A330" t="s">
        <v>699</v>
      </c>
      <c r="B330" s="194"/>
      <c r="C330" s="139" t="s">
        <v>524</v>
      </c>
      <c r="D330" s="194">
        <v>13061029.854285657</v>
      </c>
      <c r="E330" s="194">
        <v>1663641</v>
      </c>
      <c r="F330" s="195">
        <v>8217118</v>
      </c>
      <c r="G330" s="195">
        <v>237104.08000000002</v>
      </c>
      <c r="H330" s="195">
        <v>4306057</v>
      </c>
      <c r="I330" s="195">
        <v>2723239.6545370989</v>
      </c>
      <c r="J330" s="195">
        <v>655</v>
      </c>
      <c r="K330" s="195">
        <v>3477</v>
      </c>
      <c r="L330" s="195">
        <v>81</v>
      </c>
      <c r="M330" s="195">
        <v>2015</v>
      </c>
      <c r="N330" s="195">
        <v>114</v>
      </c>
      <c r="O330" s="195">
        <v>0</v>
      </c>
      <c r="P330" s="195">
        <v>0</v>
      </c>
      <c r="Q330">
        <v>2657</v>
      </c>
      <c r="R330">
        <v>256</v>
      </c>
      <c r="S330">
        <v>0</v>
      </c>
      <c r="T330">
        <v>2744</v>
      </c>
      <c r="U330">
        <v>885</v>
      </c>
      <c r="V330">
        <v>109</v>
      </c>
      <c r="W330">
        <v>300</v>
      </c>
      <c r="X330">
        <v>283</v>
      </c>
      <c r="Y330">
        <v>4</v>
      </c>
      <c r="Z330" s="195">
        <v>47195000</v>
      </c>
      <c r="AA330" s="195">
        <v>47321000</v>
      </c>
      <c r="AD330" s="139" t="s">
        <v>524</v>
      </c>
    </row>
    <row r="331" spans="1:30" x14ac:dyDescent="0.2">
      <c r="A331" t="s">
        <v>690</v>
      </c>
      <c r="B331" s="194"/>
      <c r="C331" s="139" t="s">
        <v>487</v>
      </c>
      <c r="D331" s="194">
        <v>23123473.133535407</v>
      </c>
      <c r="E331" s="194">
        <v>2691208</v>
      </c>
      <c r="F331" s="195">
        <v>12559744</v>
      </c>
      <c r="G331" s="195">
        <v>334441.95999999996</v>
      </c>
      <c r="H331" s="195">
        <v>7051228</v>
      </c>
      <c r="I331" s="195">
        <v>4012487.7901925901</v>
      </c>
      <c r="J331" s="195">
        <v>932</v>
      </c>
      <c r="K331" s="195">
        <v>5786</v>
      </c>
      <c r="L331" s="195">
        <v>0</v>
      </c>
      <c r="M331" s="195">
        <v>70</v>
      </c>
      <c r="N331" s="195">
        <v>90</v>
      </c>
      <c r="O331" s="195">
        <v>0</v>
      </c>
      <c r="P331" s="195">
        <v>0</v>
      </c>
      <c r="Q331">
        <v>776</v>
      </c>
      <c r="R331">
        <v>88</v>
      </c>
      <c r="S331">
        <v>0</v>
      </c>
      <c r="T331">
        <v>3073</v>
      </c>
      <c r="U331">
        <v>3223</v>
      </c>
      <c r="V331">
        <v>160</v>
      </c>
      <c r="W331">
        <v>500</v>
      </c>
      <c r="X331">
        <v>623</v>
      </c>
      <c r="Y331">
        <v>13</v>
      </c>
      <c r="Z331" s="195">
        <v>71831000</v>
      </c>
      <c r="AA331" s="195">
        <v>73598000</v>
      </c>
      <c r="AD331" s="139" t="s">
        <v>487</v>
      </c>
    </row>
    <row r="332" spans="1:30" x14ac:dyDescent="0.2">
      <c r="A332" t="s">
        <v>698</v>
      </c>
      <c r="B332" s="194"/>
      <c r="C332" s="139" t="s">
        <v>193</v>
      </c>
      <c r="D332" s="194">
        <v>26509995.828308053</v>
      </c>
      <c r="E332" s="194">
        <v>2808849</v>
      </c>
      <c r="F332" s="195">
        <v>25298894</v>
      </c>
      <c r="G332" s="195">
        <v>604232.88</v>
      </c>
      <c r="H332" s="195">
        <v>12070410</v>
      </c>
      <c r="I332" s="195">
        <v>12060797.986160256</v>
      </c>
      <c r="J332" s="195">
        <v>1031</v>
      </c>
      <c r="K332" s="195">
        <v>5090</v>
      </c>
      <c r="L332" s="195">
        <v>0</v>
      </c>
      <c r="M332" s="195">
        <v>0</v>
      </c>
      <c r="N332" s="195">
        <v>89</v>
      </c>
      <c r="O332" s="195">
        <v>0</v>
      </c>
      <c r="P332" s="195">
        <v>0</v>
      </c>
      <c r="Q332">
        <v>0</v>
      </c>
      <c r="R332">
        <v>10</v>
      </c>
      <c r="S332">
        <v>0</v>
      </c>
      <c r="T332">
        <v>684</v>
      </c>
      <c r="U332">
        <v>3135</v>
      </c>
      <c r="V332">
        <v>202</v>
      </c>
      <c r="W332">
        <v>212</v>
      </c>
      <c r="X332">
        <v>434</v>
      </c>
      <c r="Y332">
        <v>12</v>
      </c>
      <c r="Z332" s="195">
        <v>107907000</v>
      </c>
      <c r="AA332" s="195">
        <v>106995000</v>
      </c>
      <c r="AD332" s="139" t="s">
        <v>193</v>
      </c>
    </row>
    <row r="333" spans="1:30" x14ac:dyDescent="0.2">
      <c r="A333" t="s">
        <v>697</v>
      </c>
      <c r="B333" s="194"/>
      <c r="C333" s="139" t="s">
        <v>313</v>
      </c>
      <c r="D333" s="194">
        <v>52704045.073314324</v>
      </c>
      <c r="E333" s="194">
        <v>4350352</v>
      </c>
      <c r="F333" s="195">
        <v>30505418</v>
      </c>
      <c r="G333" s="195">
        <v>810816.48</v>
      </c>
      <c r="H333" s="195">
        <v>18441156</v>
      </c>
      <c r="I333" s="195">
        <v>8803220.0161433127</v>
      </c>
      <c r="J333" s="195">
        <v>2005</v>
      </c>
      <c r="K333" s="195">
        <v>8992</v>
      </c>
      <c r="L333" s="195">
        <v>374</v>
      </c>
      <c r="M333" s="195">
        <v>55</v>
      </c>
      <c r="N333" s="195">
        <v>565</v>
      </c>
      <c r="O333" s="195">
        <v>0</v>
      </c>
      <c r="P333" s="195">
        <v>0</v>
      </c>
      <c r="Q333">
        <v>2505</v>
      </c>
      <c r="R333">
        <v>2334</v>
      </c>
      <c r="S333">
        <v>0</v>
      </c>
      <c r="T333">
        <v>3058</v>
      </c>
      <c r="U333">
        <v>5928</v>
      </c>
      <c r="V333">
        <v>625</v>
      </c>
      <c r="W333">
        <v>1632</v>
      </c>
      <c r="X333">
        <v>862</v>
      </c>
      <c r="Y333">
        <v>90</v>
      </c>
      <c r="Z333" s="195">
        <v>159190000</v>
      </c>
      <c r="AA333" s="195">
        <v>127922000</v>
      </c>
      <c r="AD333" s="139" t="s">
        <v>313</v>
      </c>
    </row>
    <row r="334" spans="1:30" x14ac:dyDescent="0.2">
      <c r="A334" t="s">
        <v>701</v>
      </c>
      <c r="B334" s="194"/>
      <c r="C334" s="139" t="s">
        <v>432</v>
      </c>
      <c r="D334" s="194">
        <v>15585233.781251222</v>
      </c>
      <c r="E334" s="194">
        <v>1415038</v>
      </c>
      <c r="F334" s="195">
        <v>6336223</v>
      </c>
      <c r="G334" s="195">
        <v>392124.26</v>
      </c>
      <c r="H334" s="195">
        <v>2467543</v>
      </c>
      <c r="I334" s="195">
        <v>1499636.1139117505</v>
      </c>
      <c r="J334" s="195">
        <v>614</v>
      </c>
      <c r="K334" s="195">
        <v>4364</v>
      </c>
      <c r="L334" s="195">
        <v>125</v>
      </c>
      <c r="M334" s="195">
        <v>4690</v>
      </c>
      <c r="N334" s="195">
        <v>0</v>
      </c>
      <c r="O334" s="195">
        <v>0</v>
      </c>
      <c r="P334" s="195">
        <v>1727</v>
      </c>
      <c r="Q334">
        <v>2011</v>
      </c>
      <c r="R334">
        <v>160</v>
      </c>
      <c r="S334">
        <v>0</v>
      </c>
      <c r="T334">
        <v>2165</v>
      </c>
      <c r="U334">
        <v>3148</v>
      </c>
      <c r="V334">
        <v>417</v>
      </c>
      <c r="W334">
        <v>850</v>
      </c>
      <c r="X334">
        <v>385</v>
      </c>
      <c r="Y334">
        <v>56</v>
      </c>
      <c r="Z334" s="195">
        <v>54008000</v>
      </c>
      <c r="AA334" s="195">
        <v>54312000</v>
      </c>
      <c r="AD334" s="139" t="s">
        <v>432</v>
      </c>
    </row>
    <row r="335" spans="1:30" x14ac:dyDescent="0.2">
      <c r="A335" t="s">
        <v>690</v>
      </c>
      <c r="B335" s="194"/>
      <c r="C335" s="139" t="s">
        <v>489</v>
      </c>
      <c r="D335" s="194">
        <v>30401221.255571514</v>
      </c>
      <c r="E335" s="194">
        <v>3283202</v>
      </c>
      <c r="F335" s="195">
        <v>17070155</v>
      </c>
      <c r="G335" s="195">
        <v>489569.64999999997</v>
      </c>
      <c r="H335" s="195">
        <v>7615441</v>
      </c>
      <c r="I335" s="195">
        <v>4190196.6962077627</v>
      </c>
      <c r="J335" s="195">
        <v>1457</v>
      </c>
      <c r="K335" s="195">
        <v>7459</v>
      </c>
      <c r="L335" s="195">
        <v>331</v>
      </c>
      <c r="M335" s="195">
        <v>174</v>
      </c>
      <c r="N335" s="195">
        <v>131</v>
      </c>
      <c r="O335" s="195">
        <v>0</v>
      </c>
      <c r="P335" s="195">
        <v>0</v>
      </c>
      <c r="Q335">
        <v>1239</v>
      </c>
      <c r="R335">
        <v>0</v>
      </c>
      <c r="S335">
        <v>0</v>
      </c>
      <c r="T335">
        <v>2462</v>
      </c>
      <c r="U335">
        <v>3856</v>
      </c>
      <c r="V335">
        <v>135</v>
      </c>
      <c r="W335">
        <v>1021</v>
      </c>
      <c r="X335">
        <v>792</v>
      </c>
      <c r="Y335">
        <v>24</v>
      </c>
      <c r="Z335" s="195">
        <v>107488000</v>
      </c>
      <c r="AA335" s="195">
        <v>114203000</v>
      </c>
      <c r="AD335" s="139" t="s">
        <v>489</v>
      </c>
    </row>
    <row r="336" spans="1:30" x14ac:dyDescent="0.2">
      <c r="A336" t="s">
        <v>691</v>
      </c>
      <c r="B336" s="194"/>
      <c r="C336" s="139" t="s">
        <v>357</v>
      </c>
      <c r="D336" s="194">
        <v>52467197.249285579</v>
      </c>
      <c r="E336" s="194">
        <v>5099895</v>
      </c>
      <c r="F336" s="195">
        <v>28242899</v>
      </c>
      <c r="G336" s="195">
        <v>926557.28</v>
      </c>
      <c r="H336" s="195">
        <v>17782520</v>
      </c>
      <c r="I336" s="195">
        <v>7460387.421669676</v>
      </c>
      <c r="J336" s="195">
        <v>3124</v>
      </c>
      <c r="K336" s="195">
        <v>11843</v>
      </c>
      <c r="L336" s="195">
        <v>420</v>
      </c>
      <c r="M336" s="195">
        <v>324</v>
      </c>
      <c r="N336" s="195">
        <v>0</v>
      </c>
      <c r="O336" s="195">
        <v>0</v>
      </c>
      <c r="P336" s="195">
        <v>0</v>
      </c>
      <c r="Q336">
        <v>347</v>
      </c>
      <c r="R336">
        <v>2153</v>
      </c>
      <c r="S336">
        <v>27</v>
      </c>
      <c r="T336">
        <v>4972</v>
      </c>
      <c r="U336">
        <v>10942</v>
      </c>
      <c r="V336">
        <v>287</v>
      </c>
      <c r="W336">
        <v>1314</v>
      </c>
      <c r="X336">
        <v>1418</v>
      </c>
      <c r="Y336">
        <v>125</v>
      </c>
      <c r="Z336" s="195">
        <v>176188000</v>
      </c>
      <c r="AA336" s="195">
        <v>176703000</v>
      </c>
      <c r="AD336" s="139" t="s">
        <v>357</v>
      </c>
    </row>
    <row r="337" spans="1:30" x14ac:dyDescent="0.2">
      <c r="A337" t="s">
        <v>699</v>
      </c>
      <c r="B337" s="194"/>
      <c r="C337" s="139" t="s">
        <v>525</v>
      </c>
      <c r="D337" s="194">
        <v>91306292.65349865</v>
      </c>
      <c r="E337" s="194">
        <v>9193840</v>
      </c>
      <c r="F337" s="195">
        <v>93633568</v>
      </c>
      <c r="G337" s="195">
        <v>14266322.9</v>
      </c>
      <c r="H337" s="195">
        <v>44281441</v>
      </c>
      <c r="I337" s="195">
        <v>19261662.656467307</v>
      </c>
      <c r="J337" s="195">
        <v>6831</v>
      </c>
      <c r="K337" s="195">
        <v>25881</v>
      </c>
      <c r="L337" s="195">
        <v>865</v>
      </c>
      <c r="M337" s="195">
        <v>1317</v>
      </c>
      <c r="N337" s="195">
        <v>186</v>
      </c>
      <c r="O337" s="195">
        <v>0</v>
      </c>
      <c r="P337" s="195">
        <v>0</v>
      </c>
      <c r="Q337">
        <v>8195</v>
      </c>
      <c r="R337">
        <v>0</v>
      </c>
      <c r="S337">
        <v>0</v>
      </c>
      <c r="T337">
        <v>8581</v>
      </c>
      <c r="U337">
        <v>7485</v>
      </c>
      <c r="V337">
        <v>448</v>
      </c>
      <c r="W337">
        <v>3244</v>
      </c>
      <c r="X337">
        <v>2972</v>
      </c>
      <c r="Y337">
        <v>231</v>
      </c>
      <c r="Z337" s="195">
        <v>357823000</v>
      </c>
      <c r="AA337" s="195">
        <v>360327000</v>
      </c>
      <c r="AD337" s="139" t="s">
        <v>525</v>
      </c>
    </row>
    <row r="338" spans="1:30" x14ac:dyDescent="0.2">
      <c r="A338" t="s">
        <v>699</v>
      </c>
      <c r="B338" s="194"/>
      <c r="C338" s="139" t="s">
        <v>526</v>
      </c>
      <c r="D338" s="194">
        <v>34824068.681733161</v>
      </c>
      <c r="E338" s="194">
        <v>3268541</v>
      </c>
      <c r="F338" s="195">
        <v>25059312</v>
      </c>
      <c r="G338" s="195">
        <v>942164.9</v>
      </c>
      <c r="H338" s="195">
        <v>13548369</v>
      </c>
      <c r="I338" s="195">
        <v>11458998.726646278</v>
      </c>
      <c r="J338" s="195">
        <v>2952</v>
      </c>
      <c r="K338" s="195">
        <v>9973</v>
      </c>
      <c r="L338" s="195">
        <v>0</v>
      </c>
      <c r="M338" s="195">
        <v>374</v>
      </c>
      <c r="N338" s="195">
        <v>125</v>
      </c>
      <c r="O338" s="195">
        <v>1</v>
      </c>
      <c r="P338" s="195">
        <v>0</v>
      </c>
      <c r="Q338">
        <v>0</v>
      </c>
      <c r="R338">
        <v>0</v>
      </c>
      <c r="S338">
        <v>0</v>
      </c>
      <c r="T338">
        <v>3877</v>
      </c>
      <c r="U338">
        <v>3157</v>
      </c>
      <c r="V338">
        <v>126</v>
      </c>
      <c r="W338">
        <v>1284</v>
      </c>
      <c r="X338">
        <v>866</v>
      </c>
      <c r="Y338">
        <v>40</v>
      </c>
      <c r="Z338" s="195">
        <v>125601000</v>
      </c>
      <c r="AA338" s="195">
        <v>127155000</v>
      </c>
      <c r="AD338" s="139" t="s">
        <v>526</v>
      </c>
    </row>
    <row r="339" spans="1:30" x14ac:dyDescent="0.2">
      <c r="A339" t="s">
        <v>697</v>
      </c>
      <c r="B339" s="194"/>
      <c r="C339" s="139" t="s">
        <v>314</v>
      </c>
      <c r="D339" s="194">
        <v>13863682.125954434</v>
      </c>
      <c r="E339" s="194">
        <v>1246892</v>
      </c>
      <c r="F339" s="195">
        <v>6363212</v>
      </c>
      <c r="G339" s="195">
        <v>370328.92</v>
      </c>
      <c r="H339" s="195">
        <v>3549834</v>
      </c>
      <c r="I339" s="195">
        <v>895036.13893943478</v>
      </c>
      <c r="J339" s="195">
        <v>833</v>
      </c>
      <c r="K339" s="195">
        <v>3216</v>
      </c>
      <c r="L339" s="195">
        <v>135</v>
      </c>
      <c r="M339" s="195">
        <v>117</v>
      </c>
      <c r="N339" s="195">
        <v>0</v>
      </c>
      <c r="O339" s="195">
        <v>0</v>
      </c>
      <c r="P339" s="195">
        <v>0</v>
      </c>
      <c r="Q339">
        <v>10</v>
      </c>
      <c r="R339">
        <v>21</v>
      </c>
      <c r="S339">
        <v>0</v>
      </c>
      <c r="T339">
        <v>2166</v>
      </c>
      <c r="U339">
        <v>1758</v>
      </c>
      <c r="V339">
        <v>221</v>
      </c>
      <c r="W339">
        <v>731</v>
      </c>
      <c r="X339">
        <v>382</v>
      </c>
      <c r="Y339">
        <v>43</v>
      </c>
      <c r="Z339" s="195">
        <v>42720000</v>
      </c>
      <c r="AA339" s="195">
        <v>41232000</v>
      </c>
      <c r="AD339" s="139" t="s">
        <v>314</v>
      </c>
    </row>
    <row r="340" spans="1:30" x14ac:dyDescent="0.2">
      <c r="A340" t="s">
        <v>694</v>
      </c>
      <c r="B340" s="194"/>
      <c r="C340" s="139" t="s">
        <v>410</v>
      </c>
      <c r="D340" s="194">
        <v>71015852.756688997</v>
      </c>
      <c r="E340" s="194">
        <v>6432534</v>
      </c>
      <c r="F340" s="195">
        <v>51079182</v>
      </c>
      <c r="G340" s="195">
        <v>5011198.0600000005</v>
      </c>
      <c r="H340" s="195">
        <v>33320809</v>
      </c>
      <c r="I340" s="195">
        <v>11968528.930952817</v>
      </c>
      <c r="J340" s="195">
        <v>3037</v>
      </c>
      <c r="K340" s="195">
        <v>12449</v>
      </c>
      <c r="L340" s="195">
        <v>240</v>
      </c>
      <c r="M340" s="195">
        <v>158</v>
      </c>
      <c r="N340" s="195">
        <v>0</v>
      </c>
      <c r="O340" s="195">
        <v>0</v>
      </c>
      <c r="P340" s="195">
        <v>0</v>
      </c>
      <c r="Q340">
        <v>1862</v>
      </c>
      <c r="R340">
        <v>1749</v>
      </c>
      <c r="S340">
        <v>0</v>
      </c>
      <c r="T340">
        <v>5941</v>
      </c>
      <c r="U340">
        <v>9228</v>
      </c>
      <c r="V340">
        <v>761</v>
      </c>
      <c r="W340">
        <v>1100</v>
      </c>
      <c r="X340">
        <v>1265</v>
      </c>
      <c r="Y340">
        <v>190</v>
      </c>
      <c r="Z340" s="195">
        <v>233135703</v>
      </c>
      <c r="AA340" s="195">
        <v>232559967</v>
      </c>
      <c r="AD340" s="139" t="s">
        <v>410</v>
      </c>
    </row>
    <row r="341" spans="1:30" x14ac:dyDescent="0.2">
      <c r="A341" t="s">
        <v>698</v>
      </c>
      <c r="B341" s="194"/>
      <c r="C341" s="139" t="s">
        <v>194</v>
      </c>
      <c r="D341" s="194">
        <v>15816857.710927662</v>
      </c>
      <c r="E341" s="194">
        <v>1866000</v>
      </c>
      <c r="F341" s="195">
        <v>13920538</v>
      </c>
      <c r="G341" s="195">
        <v>1215100.2</v>
      </c>
      <c r="H341" s="195">
        <v>3691494</v>
      </c>
      <c r="I341" s="195">
        <v>7281544.4131624056</v>
      </c>
      <c r="J341" s="195">
        <v>253</v>
      </c>
      <c r="K341" s="195">
        <v>2060</v>
      </c>
      <c r="L341" s="195">
        <v>0</v>
      </c>
      <c r="M341" s="195">
        <v>100</v>
      </c>
      <c r="N341" s="195">
        <v>0</v>
      </c>
      <c r="O341" s="195">
        <v>0</v>
      </c>
      <c r="P341" s="195">
        <v>30</v>
      </c>
      <c r="Q341">
        <v>0</v>
      </c>
      <c r="R341">
        <v>0</v>
      </c>
      <c r="S341">
        <v>0</v>
      </c>
      <c r="T341">
        <v>2209</v>
      </c>
      <c r="U341">
        <v>1738</v>
      </c>
      <c r="V341">
        <v>55</v>
      </c>
      <c r="W341">
        <v>213</v>
      </c>
      <c r="X341">
        <v>271</v>
      </c>
      <c r="Y341">
        <v>30</v>
      </c>
      <c r="Z341" s="195">
        <v>49987000</v>
      </c>
      <c r="AA341" s="195">
        <v>50721000</v>
      </c>
      <c r="AD341" s="139" t="s">
        <v>194</v>
      </c>
    </row>
    <row r="342" spans="1:30" x14ac:dyDescent="0.2">
      <c r="A342" t="s">
        <v>693</v>
      </c>
      <c r="B342" s="194"/>
      <c r="C342" s="139" t="s">
        <v>215</v>
      </c>
      <c r="D342" s="194">
        <v>2257851.9702662318</v>
      </c>
      <c r="E342" s="194">
        <v>84444</v>
      </c>
      <c r="F342" s="195">
        <v>279351</v>
      </c>
      <c r="G342" s="195">
        <v>45240.800000000003</v>
      </c>
      <c r="H342" s="195">
        <v>78629</v>
      </c>
      <c r="I342" s="195">
        <v>4211.5630933120265</v>
      </c>
      <c r="J342" s="195">
        <v>92</v>
      </c>
      <c r="K342" s="195">
        <v>379</v>
      </c>
      <c r="L342" s="195">
        <v>14</v>
      </c>
      <c r="M342" s="195">
        <v>1181</v>
      </c>
      <c r="N342" s="195">
        <v>0</v>
      </c>
      <c r="O342" s="195">
        <v>6</v>
      </c>
      <c r="P342" s="195">
        <v>110</v>
      </c>
      <c r="Q342">
        <v>0</v>
      </c>
      <c r="R342">
        <v>38</v>
      </c>
      <c r="S342">
        <v>0</v>
      </c>
      <c r="T342">
        <v>170</v>
      </c>
      <c r="U342">
        <v>453</v>
      </c>
      <c r="V342">
        <v>15</v>
      </c>
      <c r="W342">
        <v>52</v>
      </c>
      <c r="X342">
        <v>96</v>
      </c>
      <c r="Y342">
        <v>0</v>
      </c>
      <c r="Z342" s="195">
        <v>7967000</v>
      </c>
      <c r="AA342" s="195">
        <v>8456000</v>
      </c>
      <c r="AD342" s="139" t="s">
        <v>215</v>
      </c>
    </row>
    <row r="343" spans="1:30" x14ac:dyDescent="0.2">
      <c r="A343" t="s">
        <v>701</v>
      </c>
      <c r="B343" s="194"/>
      <c r="C343" s="139" t="s">
        <v>433</v>
      </c>
      <c r="D343" s="194">
        <v>44834633.263580829</v>
      </c>
      <c r="E343" s="194">
        <v>4152029</v>
      </c>
      <c r="F343" s="195">
        <v>64182537</v>
      </c>
      <c r="G343" s="195">
        <v>9835801.9600000009</v>
      </c>
      <c r="H343" s="195">
        <v>22955644</v>
      </c>
      <c r="I343" s="195">
        <v>10043972.626307236</v>
      </c>
      <c r="J343" s="195">
        <v>2524</v>
      </c>
      <c r="K343" s="195">
        <v>8126</v>
      </c>
      <c r="L343" s="195">
        <v>302</v>
      </c>
      <c r="M343" s="195">
        <v>257</v>
      </c>
      <c r="N343" s="195">
        <v>0</v>
      </c>
      <c r="O343" s="195">
        <v>0</v>
      </c>
      <c r="P343" s="195">
        <v>181</v>
      </c>
      <c r="Q343">
        <v>2867</v>
      </c>
      <c r="R343">
        <v>210</v>
      </c>
      <c r="S343">
        <v>0</v>
      </c>
      <c r="T343">
        <v>6278</v>
      </c>
      <c r="U343">
        <v>6993</v>
      </c>
      <c r="V343">
        <v>379</v>
      </c>
      <c r="W343">
        <v>688</v>
      </c>
      <c r="X343">
        <v>740</v>
      </c>
      <c r="Y343">
        <v>55</v>
      </c>
      <c r="Z343" s="195">
        <v>211720325</v>
      </c>
      <c r="AA343" s="195">
        <v>216678084</v>
      </c>
      <c r="AD343" s="139" t="s">
        <v>433</v>
      </c>
    </row>
    <row r="344" spans="1:30" x14ac:dyDescent="0.2">
      <c r="A344" t="s">
        <v>699</v>
      </c>
      <c r="B344" s="194"/>
      <c r="C344" s="139" t="s">
        <v>527</v>
      </c>
      <c r="D344" s="194">
        <v>8579577.641949974</v>
      </c>
      <c r="E344" s="194">
        <v>1029453</v>
      </c>
      <c r="F344" s="195">
        <v>5551975</v>
      </c>
      <c r="G344" s="195">
        <v>147447.16</v>
      </c>
      <c r="H344" s="195">
        <v>1810793</v>
      </c>
      <c r="I344" s="195">
        <v>2014985.2945313677</v>
      </c>
      <c r="J344" s="195">
        <v>191</v>
      </c>
      <c r="K344" s="195">
        <v>2152</v>
      </c>
      <c r="L344" s="195">
        <v>71</v>
      </c>
      <c r="M344" s="195">
        <v>29</v>
      </c>
      <c r="N344" s="195">
        <v>0</v>
      </c>
      <c r="O344" s="195">
        <v>0</v>
      </c>
      <c r="P344" s="195">
        <v>0</v>
      </c>
      <c r="Q344">
        <v>0</v>
      </c>
      <c r="R344">
        <v>0</v>
      </c>
      <c r="S344">
        <v>0</v>
      </c>
      <c r="T344">
        <v>1443</v>
      </c>
      <c r="U344">
        <v>1136</v>
      </c>
      <c r="V344">
        <v>37</v>
      </c>
      <c r="W344">
        <v>105</v>
      </c>
      <c r="X344">
        <v>207</v>
      </c>
      <c r="Y344">
        <v>2</v>
      </c>
      <c r="Z344" s="195">
        <v>26099000</v>
      </c>
      <c r="AA344" s="195">
        <v>27895000</v>
      </c>
      <c r="AD344" s="139" t="s">
        <v>527</v>
      </c>
    </row>
    <row r="345" spans="1:30" x14ac:dyDescent="0.2">
      <c r="A345" t="s">
        <v>694</v>
      </c>
      <c r="B345" s="194"/>
      <c r="C345" s="139" t="s">
        <v>411</v>
      </c>
      <c r="D345" s="194">
        <v>16819114.217287805</v>
      </c>
      <c r="E345" s="194">
        <v>1499002</v>
      </c>
      <c r="F345" s="195">
        <v>7613407</v>
      </c>
      <c r="G345" s="195">
        <v>157875.29999999999</v>
      </c>
      <c r="H345" s="195">
        <v>4519533</v>
      </c>
      <c r="I345" s="195">
        <v>1514439.2333575878</v>
      </c>
      <c r="J345" s="195">
        <v>357</v>
      </c>
      <c r="K345" s="195">
        <v>4826</v>
      </c>
      <c r="L345" s="195">
        <v>77</v>
      </c>
      <c r="M345" s="195">
        <v>67</v>
      </c>
      <c r="N345" s="195">
        <v>81</v>
      </c>
      <c r="O345" s="195">
        <v>0</v>
      </c>
      <c r="P345" s="195">
        <v>0</v>
      </c>
      <c r="Q345">
        <v>0</v>
      </c>
      <c r="R345">
        <v>482</v>
      </c>
      <c r="S345">
        <v>6</v>
      </c>
      <c r="T345">
        <v>2804</v>
      </c>
      <c r="U345">
        <v>3421</v>
      </c>
      <c r="V345">
        <v>300</v>
      </c>
      <c r="W345">
        <v>290</v>
      </c>
      <c r="X345">
        <v>352</v>
      </c>
      <c r="Y345">
        <v>40</v>
      </c>
      <c r="Z345" s="195">
        <v>56623000</v>
      </c>
      <c r="AA345" s="195">
        <v>59612000</v>
      </c>
      <c r="AD345" s="139" t="s">
        <v>411</v>
      </c>
    </row>
    <row r="346" spans="1:30" x14ac:dyDescent="0.2">
      <c r="A346" t="s">
        <v>692</v>
      </c>
      <c r="B346" s="194"/>
      <c r="C346" s="139" t="s">
        <v>285</v>
      </c>
      <c r="D346" s="194">
        <v>16873352.532088853</v>
      </c>
      <c r="E346" s="194">
        <v>1904191</v>
      </c>
      <c r="F346" s="195">
        <v>11019719</v>
      </c>
      <c r="G346" s="195">
        <v>316365.44</v>
      </c>
      <c r="H346" s="195">
        <v>3531269</v>
      </c>
      <c r="I346" s="195">
        <v>2450421.7579619423</v>
      </c>
      <c r="J346" s="195">
        <v>741</v>
      </c>
      <c r="K346" s="195">
        <v>4235</v>
      </c>
      <c r="L346" s="195">
        <v>0</v>
      </c>
      <c r="M346" s="195">
        <v>152</v>
      </c>
      <c r="N346" s="195">
        <v>93</v>
      </c>
      <c r="O346" s="195">
        <v>0</v>
      </c>
      <c r="P346" s="195">
        <v>0</v>
      </c>
      <c r="Q346">
        <v>0</v>
      </c>
      <c r="R346">
        <v>1273</v>
      </c>
      <c r="S346">
        <v>0</v>
      </c>
      <c r="T346">
        <v>2737</v>
      </c>
      <c r="U346">
        <v>1450</v>
      </c>
      <c r="V346">
        <v>197</v>
      </c>
      <c r="W346">
        <v>668</v>
      </c>
      <c r="X346">
        <v>372</v>
      </c>
      <c r="Y346">
        <v>48</v>
      </c>
      <c r="Z346" s="195">
        <v>53862000</v>
      </c>
      <c r="AA346" s="195">
        <v>53204000</v>
      </c>
      <c r="AD346" s="139" t="s">
        <v>285</v>
      </c>
    </row>
    <row r="347" spans="1:30" x14ac:dyDescent="0.2">
      <c r="A347" t="s">
        <v>690</v>
      </c>
      <c r="B347" s="194"/>
      <c r="C347" s="139" t="s">
        <v>490</v>
      </c>
      <c r="D347" s="194">
        <v>18497984.938150268</v>
      </c>
      <c r="E347" s="194">
        <v>1850010</v>
      </c>
      <c r="F347" s="195">
        <v>12572470</v>
      </c>
      <c r="G347" s="195">
        <v>201788.3</v>
      </c>
      <c r="H347" s="195">
        <v>4113162</v>
      </c>
      <c r="I347" s="195">
        <v>5143993.0758186476</v>
      </c>
      <c r="J347" s="195">
        <v>1263</v>
      </c>
      <c r="K347" s="195">
        <v>6303</v>
      </c>
      <c r="L347" s="195">
        <v>0</v>
      </c>
      <c r="M347" s="195">
        <v>200</v>
      </c>
      <c r="N347" s="195">
        <v>50</v>
      </c>
      <c r="O347" s="195">
        <v>0</v>
      </c>
      <c r="P347" s="195">
        <v>0</v>
      </c>
      <c r="Q347">
        <v>0</v>
      </c>
      <c r="R347">
        <v>0</v>
      </c>
      <c r="S347">
        <v>0</v>
      </c>
      <c r="T347">
        <v>3589</v>
      </c>
      <c r="U347">
        <v>2651</v>
      </c>
      <c r="V347">
        <v>12</v>
      </c>
      <c r="W347">
        <v>720</v>
      </c>
      <c r="X347">
        <v>543</v>
      </c>
      <c r="Y347">
        <v>18</v>
      </c>
      <c r="Z347" s="195">
        <v>61139000</v>
      </c>
      <c r="AA347" s="195">
        <v>60422000</v>
      </c>
      <c r="AD347" s="139" t="s">
        <v>490</v>
      </c>
    </row>
    <row r="348" spans="1:30" x14ac:dyDescent="0.2">
      <c r="A348" t="s">
        <v>690</v>
      </c>
      <c r="B348" s="194"/>
      <c r="C348" s="139" t="s">
        <v>491</v>
      </c>
      <c r="D348" s="194">
        <v>10397435.254478447</v>
      </c>
      <c r="E348" s="194">
        <v>1088814</v>
      </c>
      <c r="F348" s="195">
        <v>5147689</v>
      </c>
      <c r="G348" s="195">
        <v>166380.52000000002</v>
      </c>
      <c r="H348" s="195">
        <v>2394965</v>
      </c>
      <c r="I348" s="195">
        <v>1401529.086511919</v>
      </c>
      <c r="J348" s="195">
        <v>232</v>
      </c>
      <c r="K348" s="195">
        <v>2895</v>
      </c>
      <c r="L348" s="195">
        <v>0</v>
      </c>
      <c r="M348" s="195">
        <v>0</v>
      </c>
      <c r="N348" s="195">
        <v>0</v>
      </c>
      <c r="O348" s="195">
        <v>0</v>
      </c>
      <c r="P348" s="195">
        <v>0</v>
      </c>
      <c r="Q348">
        <v>0</v>
      </c>
      <c r="R348">
        <v>2</v>
      </c>
      <c r="S348">
        <v>0</v>
      </c>
      <c r="T348">
        <v>1451</v>
      </c>
      <c r="U348">
        <v>1151</v>
      </c>
      <c r="V348">
        <v>88</v>
      </c>
      <c r="W348">
        <v>500</v>
      </c>
      <c r="X348">
        <v>288</v>
      </c>
      <c r="Y348">
        <v>7</v>
      </c>
      <c r="Z348" s="195">
        <v>28953000</v>
      </c>
      <c r="AA348" s="195">
        <v>29207000</v>
      </c>
      <c r="AD348" s="139" t="s">
        <v>491</v>
      </c>
    </row>
    <row r="349" spans="1:30" x14ac:dyDescent="0.2">
      <c r="A349" t="s">
        <v>690</v>
      </c>
      <c r="B349" s="194"/>
      <c r="C349" s="139" t="s">
        <v>492</v>
      </c>
      <c r="D349" s="194">
        <v>36226248.13834814</v>
      </c>
      <c r="E349" s="194">
        <v>3723202</v>
      </c>
      <c r="F349" s="195">
        <v>21135108</v>
      </c>
      <c r="G349" s="195">
        <v>881972.85</v>
      </c>
      <c r="H349" s="195">
        <v>11593534</v>
      </c>
      <c r="I349" s="195">
        <v>7072859.6720517948</v>
      </c>
      <c r="J349" s="195">
        <v>1964</v>
      </c>
      <c r="K349" s="195">
        <v>8727</v>
      </c>
      <c r="L349" s="195">
        <v>168</v>
      </c>
      <c r="M349" s="195">
        <v>122</v>
      </c>
      <c r="N349" s="195">
        <v>103</v>
      </c>
      <c r="O349" s="195">
        <v>0</v>
      </c>
      <c r="P349" s="195">
        <v>15</v>
      </c>
      <c r="Q349">
        <v>1800</v>
      </c>
      <c r="R349">
        <v>194</v>
      </c>
      <c r="S349">
        <v>0</v>
      </c>
      <c r="T349">
        <v>2815</v>
      </c>
      <c r="U349">
        <v>3572</v>
      </c>
      <c r="V349">
        <v>378</v>
      </c>
      <c r="W349">
        <v>1216</v>
      </c>
      <c r="X349">
        <v>915</v>
      </c>
      <c r="Y349">
        <v>45</v>
      </c>
      <c r="Z349" s="195">
        <v>124344000</v>
      </c>
      <c r="AA349" s="195">
        <v>126087000</v>
      </c>
      <c r="AD349" s="139" t="s">
        <v>492</v>
      </c>
    </row>
    <row r="350" spans="1:30" x14ac:dyDescent="0.2">
      <c r="A350" t="s">
        <v>694</v>
      </c>
      <c r="B350" s="194"/>
      <c r="C350" s="139" t="s">
        <v>412</v>
      </c>
      <c r="D350" s="194">
        <v>19810462.560066812</v>
      </c>
      <c r="E350" s="194">
        <v>1737607</v>
      </c>
      <c r="F350" s="195">
        <v>9985620</v>
      </c>
      <c r="G350" s="195">
        <v>277034.78000000003</v>
      </c>
      <c r="H350" s="195">
        <v>4324688</v>
      </c>
      <c r="I350" s="195">
        <v>2530072.1343837101</v>
      </c>
      <c r="J350" s="195">
        <v>1247</v>
      </c>
      <c r="K350" s="195">
        <v>5034</v>
      </c>
      <c r="L350" s="195">
        <v>123</v>
      </c>
      <c r="M350" s="195">
        <v>17</v>
      </c>
      <c r="N350" s="195">
        <v>0</v>
      </c>
      <c r="O350" s="195">
        <v>0</v>
      </c>
      <c r="P350" s="195">
        <v>0</v>
      </c>
      <c r="Q350">
        <v>0</v>
      </c>
      <c r="R350">
        <v>600</v>
      </c>
      <c r="S350">
        <v>0</v>
      </c>
      <c r="T350">
        <v>2425</v>
      </c>
      <c r="U350">
        <v>2954</v>
      </c>
      <c r="V350">
        <v>324</v>
      </c>
      <c r="W350">
        <v>706</v>
      </c>
      <c r="X350">
        <v>448</v>
      </c>
      <c r="Y350">
        <v>7</v>
      </c>
      <c r="Z350" s="195">
        <v>73361000</v>
      </c>
      <c r="AA350" s="195">
        <v>75362000</v>
      </c>
      <c r="AD350" s="139" t="s">
        <v>412</v>
      </c>
    </row>
    <row r="351" spans="1:30" x14ac:dyDescent="0.2">
      <c r="A351" t="s">
        <v>692</v>
      </c>
      <c r="B351" s="194"/>
      <c r="C351" s="139" t="s">
        <v>286</v>
      </c>
      <c r="D351" s="194">
        <v>31000079.987555794</v>
      </c>
      <c r="E351" s="194">
        <v>1940750</v>
      </c>
      <c r="F351" s="195">
        <v>13251067</v>
      </c>
      <c r="G351" s="195">
        <v>361054.3</v>
      </c>
      <c r="H351" s="195">
        <v>10306894</v>
      </c>
      <c r="I351" s="195">
        <v>4693197.2902955422</v>
      </c>
      <c r="J351" s="195">
        <v>1942</v>
      </c>
      <c r="K351" s="195">
        <v>7319</v>
      </c>
      <c r="L351" s="195">
        <v>169</v>
      </c>
      <c r="M351" s="195">
        <v>145</v>
      </c>
      <c r="N351" s="195">
        <v>115</v>
      </c>
      <c r="O351" s="195">
        <v>1</v>
      </c>
      <c r="P351" s="195">
        <v>0</v>
      </c>
      <c r="Q351">
        <v>1004</v>
      </c>
      <c r="R351">
        <v>500</v>
      </c>
      <c r="S351">
        <v>0</v>
      </c>
      <c r="T351">
        <v>2664</v>
      </c>
      <c r="U351">
        <v>3739</v>
      </c>
      <c r="V351">
        <v>572</v>
      </c>
      <c r="W351">
        <v>884</v>
      </c>
      <c r="X351">
        <v>661</v>
      </c>
      <c r="Y351">
        <v>81</v>
      </c>
      <c r="Z351" s="195">
        <v>88554000</v>
      </c>
      <c r="AA351" s="195">
        <v>91699000</v>
      </c>
      <c r="AD351" s="139" t="s">
        <v>286</v>
      </c>
    </row>
    <row r="352" spans="1:30" x14ac:dyDescent="0.2">
      <c r="A352" t="s">
        <v>694</v>
      </c>
      <c r="B352" s="194"/>
      <c r="C352" s="139" t="s">
        <v>413</v>
      </c>
      <c r="D352" s="194">
        <v>16024594.736907415</v>
      </c>
      <c r="E352" s="194">
        <v>1445172</v>
      </c>
      <c r="F352" s="195">
        <v>6854944</v>
      </c>
      <c r="G352" s="195">
        <v>300346.23999999999</v>
      </c>
      <c r="H352" s="195">
        <v>5191335</v>
      </c>
      <c r="I352" s="195">
        <v>1616833.2345589753</v>
      </c>
      <c r="J352" s="195">
        <v>993</v>
      </c>
      <c r="K352" s="195">
        <v>7940</v>
      </c>
      <c r="L352" s="195">
        <v>147</v>
      </c>
      <c r="M352" s="195">
        <v>861</v>
      </c>
      <c r="N352" s="195">
        <v>91</v>
      </c>
      <c r="O352" s="195">
        <v>16</v>
      </c>
      <c r="P352" s="195">
        <v>0</v>
      </c>
      <c r="Q352">
        <v>0</v>
      </c>
      <c r="R352">
        <v>2009</v>
      </c>
      <c r="S352">
        <v>0</v>
      </c>
      <c r="T352">
        <v>2788</v>
      </c>
      <c r="U352">
        <v>4693</v>
      </c>
      <c r="V352">
        <v>49</v>
      </c>
      <c r="W352">
        <v>955</v>
      </c>
      <c r="X352">
        <v>629</v>
      </c>
      <c r="Y352">
        <v>43</v>
      </c>
      <c r="Z352" s="195">
        <v>57896000</v>
      </c>
      <c r="AA352" s="195">
        <v>58047000</v>
      </c>
      <c r="AD352" s="139" t="s">
        <v>413</v>
      </c>
    </row>
    <row r="353" spans="1:30" x14ac:dyDescent="0.2">
      <c r="A353" t="s">
        <v>691</v>
      </c>
      <c r="B353" s="194"/>
      <c r="C353" s="139" t="s">
        <v>358</v>
      </c>
      <c r="D353" s="194">
        <v>12200348.053715549</v>
      </c>
      <c r="E353" s="194">
        <v>1097805</v>
      </c>
      <c r="F353" s="195">
        <v>4573727</v>
      </c>
      <c r="G353" s="195">
        <v>242408.24</v>
      </c>
      <c r="H353" s="195">
        <v>1980733</v>
      </c>
      <c r="I353" s="195">
        <v>726405.86505334498</v>
      </c>
      <c r="J353" s="195">
        <v>220</v>
      </c>
      <c r="K353" s="195">
        <v>2435</v>
      </c>
      <c r="L353" s="195">
        <v>57</v>
      </c>
      <c r="M353" s="195">
        <v>566</v>
      </c>
      <c r="N353" s="195">
        <v>0</v>
      </c>
      <c r="O353" s="195">
        <v>0</v>
      </c>
      <c r="P353" s="195">
        <v>22</v>
      </c>
      <c r="Q353">
        <v>242</v>
      </c>
      <c r="R353">
        <v>3</v>
      </c>
      <c r="S353">
        <v>24</v>
      </c>
      <c r="T353">
        <v>1484</v>
      </c>
      <c r="U353">
        <v>1763</v>
      </c>
      <c r="V353">
        <v>186</v>
      </c>
      <c r="W353">
        <v>400</v>
      </c>
      <c r="X353">
        <v>331</v>
      </c>
      <c r="Y353">
        <v>16</v>
      </c>
      <c r="Z353" s="195">
        <v>31718000</v>
      </c>
      <c r="AA353" s="195">
        <v>31694000</v>
      </c>
      <c r="AD353" s="139" t="s">
        <v>358</v>
      </c>
    </row>
    <row r="354" spans="1:30" x14ac:dyDescent="0.2">
      <c r="A354" t="s">
        <v>699</v>
      </c>
      <c r="B354" s="194"/>
      <c r="C354" s="139" t="s">
        <v>528</v>
      </c>
      <c r="D354" s="194">
        <v>40609790.716551572</v>
      </c>
      <c r="E354" s="194">
        <v>4200525</v>
      </c>
      <c r="F354" s="195">
        <v>25800952</v>
      </c>
      <c r="G354" s="195">
        <v>767730.16</v>
      </c>
      <c r="H354" s="195">
        <v>13160591</v>
      </c>
      <c r="I354" s="195">
        <v>10407453.946863573</v>
      </c>
      <c r="J354" s="195">
        <v>1842</v>
      </c>
      <c r="K354" s="195">
        <v>6802</v>
      </c>
      <c r="L354" s="195">
        <v>357</v>
      </c>
      <c r="M354" s="195">
        <v>1019</v>
      </c>
      <c r="N354" s="195">
        <v>0</v>
      </c>
      <c r="O354" s="195">
        <v>2</v>
      </c>
      <c r="P354" s="195">
        <v>0</v>
      </c>
      <c r="Q354">
        <v>2810</v>
      </c>
      <c r="R354">
        <v>24</v>
      </c>
      <c r="S354">
        <v>0</v>
      </c>
      <c r="T354">
        <v>5860</v>
      </c>
      <c r="U354">
        <v>5464</v>
      </c>
      <c r="V354">
        <v>14</v>
      </c>
      <c r="W354">
        <v>1043</v>
      </c>
      <c r="X354">
        <v>899</v>
      </c>
      <c r="Y354">
        <v>83</v>
      </c>
      <c r="Z354" s="195">
        <v>132151000</v>
      </c>
      <c r="AA354" s="195">
        <v>132242000</v>
      </c>
      <c r="AD354" s="139" t="s">
        <v>528</v>
      </c>
    </row>
    <row r="355" spans="1:30" x14ac:dyDescent="0.2">
      <c r="A355" t="s">
        <v>691</v>
      </c>
      <c r="B355" s="194"/>
      <c r="C355" s="139" t="s">
        <v>359</v>
      </c>
      <c r="D355" s="194">
        <v>15343958.004328176</v>
      </c>
      <c r="E355" s="194">
        <v>1260173</v>
      </c>
      <c r="F355" s="195">
        <v>6020833</v>
      </c>
      <c r="G355" s="195">
        <v>172005.76000000001</v>
      </c>
      <c r="H355" s="195">
        <v>5072138</v>
      </c>
      <c r="I355" s="195">
        <v>1390048.0994623196</v>
      </c>
      <c r="J355" s="195">
        <v>686</v>
      </c>
      <c r="K355" s="195">
        <v>3053</v>
      </c>
      <c r="L355" s="195">
        <v>0</v>
      </c>
      <c r="M355" s="195">
        <v>0</v>
      </c>
      <c r="N355" s="195">
        <v>0</v>
      </c>
      <c r="O355" s="195">
        <v>0</v>
      </c>
      <c r="P355" s="195">
        <v>0</v>
      </c>
      <c r="Q355">
        <v>300</v>
      </c>
      <c r="R355">
        <v>577</v>
      </c>
      <c r="S355">
        <v>61</v>
      </c>
      <c r="T355">
        <v>2228</v>
      </c>
      <c r="U355">
        <v>1860</v>
      </c>
      <c r="V355">
        <v>189</v>
      </c>
      <c r="W355">
        <v>622</v>
      </c>
      <c r="X355">
        <v>353</v>
      </c>
      <c r="Y355">
        <v>50</v>
      </c>
      <c r="Z355" s="195">
        <v>41809643</v>
      </c>
      <c r="AA355" s="195">
        <v>41749938</v>
      </c>
      <c r="AD355" s="139" t="s">
        <v>359</v>
      </c>
    </row>
    <row r="356" spans="1:30" x14ac:dyDescent="0.2">
      <c r="A356" t="s">
        <v>690</v>
      </c>
      <c r="B356" s="194"/>
      <c r="C356" s="139" t="s">
        <v>493</v>
      </c>
      <c r="D356" s="194">
        <v>18335560.516528148</v>
      </c>
      <c r="E356" s="194">
        <v>1684704</v>
      </c>
      <c r="F356" s="195">
        <v>9228704</v>
      </c>
      <c r="G356" s="195">
        <v>569809.76</v>
      </c>
      <c r="H356" s="195">
        <v>3295309</v>
      </c>
      <c r="I356" s="195">
        <v>1949594.0564646551</v>
      </c>
      <c r="J356" s="195">
        <v>482</v>
      </c>
      <c r="K356" s="195">
        <v>3325</v>
      </c>
      <c r="L356" s="195">
        <v>145</v>
      </c>
      <c r="M356" s="195">
        <v>83</v>
      </c>
      <c r="N356" s="195">
        <v>0</v>
      </c>
      <c r="O356" s="195">
        <v>0</v>
      </c>
      <c r="P356" s="195">
        <v>0</v>
      </c>
      <c r="Q356">
        <v>0</v>
      </c>
      <c r="R356">
        <v>0</v>
      </c>
      <c r="S356">
        <v>0</v>
      </c>
      <c r="T356">
        <v>2548</v>
      </c>
      <c r="U356">
        <v>2363</v>
      </c>
      <c r="V356">
        <v>291</v>
      </c>
      <c r="W356">
        <v>520</v>
      </c>
      <c r="X356">
        <v>427</v>
      </c>
      <c r="Y356">
        <v>38</v>
      </c>
      <c r="Z356" s="195">
        <v>51103000</v>
      </c>
      <c r="AA356" s="195">
        <v>51811000</v>
      </c>
      <c r="AD356" s="139" t="s">
        <v>493</v>
      </c>
    </row>
    <row r="357" spans="1:30" x14ac:dyDescent="0.2">
      <c r="A357" t="s">
        <v>692</v>
      </c>
      <c r="B357" s="194"/>
      <c r="C357" s="139" t="s">
        <v>287</v>
      </c>
      <c r="D357" s="194">
        <v>13502533.83848105</v>
      </c>
      <c r="E357" s="194">
        <v>1281223</v>
      </c>
      <c r="F357" s="195">
        <v>6426091</v>
      </c>
      <c r="G357" s="195">
        <v>339704.83999999997</v>
      </c>
      <c r="H357" s="195">
        <v>3226895</v>
      </c>
      <c r="I357" s="195">
        <v>1749690.5882002322</v>
      </c>
      <c r="J357" s="195">
        <v>489</v>
      </c>
      <c r="K357" s="195">
        <v>3031</v>
      </c>
      <c r="L357" s="195">
        <v>93</v>
      </c>
      <c r="M357" s="195">
        <v>141</v>
      </c>
      <c r="N357" s="195">
        <v>0</v>
      </c>
      <c r="O357" s="195">
        <v>0</v>
      </c>
      <c r="P357" s="195">
        <v>10</v>
      </c>
      <c r="Q357">
        <v>0</v>
      </c>
      <c r="R357">
        <v>0</v>
      </c>
      <c r="S357">
        <v>5</v>
      </c>
      <c r="T357">
        <v>2230</v>
      </c>
      <c r="U357">
        <v>0</v>
      </c>
      <c r="V357">
        <v>31</v>
      </c>
      <c r="W357">
        <v>455</v>
      </c>
      <c r="X357">
        <v>273</v>
      </c>
      <c r="Y357">
        <v>5</v>
      </c>
      <c r="Z357" s="195">
        <v>40487000</v>
      </c>
      <c r="AA357" s="195">
        <v>33813000</v>
      </c>
      <c r="AD357" s="139" t="s">
        <v>287</v>
      </c>
    </row>
    <row r="358" spans="1:30" x14ac:dyDescent="0.2">
      <c r="A358" t="s">
        <v>689</v>
      </c>
      <c r="B358" s="194"/>
      <c r="C358" s="139" t="s">
        <v>171</v>
      </c>
      <c r="D358" s="194">
        <v>16232896.111584134</v>
      </c>
      <c r="E358" s="194">
        <v>1653078</v>
      </c>
      <c r="F358" s="195">
        <v>9293171</v>
      </c>
      <c r="G358" s="195">
        <v>320009.82</v>
      </c>
      <c r="H358" s="195">
        <v>3848525</v>
      </c>
      <c r="I358" s="195">
        <v>3341455.982064439</v>
      </c>
      <c r="J358" s="195">
        <v>262</v>
      </c>
      <c r="K358" s="195">
        <v>2899</v>
      </c>
      <c r="L358" s="195">
        <v>0</v>
      </c>
      <c r="M358" s="195">
        <v>864</v>
      </c>
      <c r="N358" s="195">
        <v>0</v>
      </c>
      <c r="O358" s="195">
        <v>0</v>
      </c>
      <c r="P358" s="195">
        <v>611</v>
      </c>
      <c r="Q358">
        <v>0</v>
      </c>
      <c r="R358">
        <v>0</v>
      </c>
      <c r="S358">
        <v>0</v>
      </c>
      <c r="T358">
        <v>2304</v>
      </c>
      <c r="U358">
        <v>1380</v>
      </c>
      <c r="V358">
        <v>242</v>
      </c>
      <c r="W358">
        <v>334</v>
      </c>
      <c r="X358">
        <v>332</v>
      </c>
      <c r="Y358">
        <v>21</v>
      </c>
      <c r="Z358" s="195">
        <v>47868000</v>
      </c>
      <c r="AA358" s="195">
        <v>50901000</v>
      </c>
      <c r="AD358" s="139" t="s">
        <v>171</v>
      </c>
    </row>
    <row r="359" spans="1:30" x14ac:dyDescent="0.2">
      <c r="A359" t="s">
        <v>692</v>
      </c>
      <c r="B359" s="194"/>
      <c r="C359" s="139" t="s">
        <v>288</v>
      </c>
      <c r="D359" s="194">
        <v>11115750.390385669</v>
      </c>
      <c r="E359" s="194">
        <v>1043373</v>
      </c>
      <c r="F359" s="195">
        <v>8563245</v>
      </c>
      <c r="G359" s="195">
        <v>233060.02000000002</v>
      </c>
      <c r="H359" s="195">
        <v>5371092</v>
      </c>
      <c r="I359" s="195">
        <v>3021462.0193376425</v>
      </c>
      <c r="J359" s="195">
        <v>148</v>
      </c>
      <c r="K359" s="195">
        <v>2235</v>
      </c>
      <c r="L359" s="195">
        <v>125</v>
      </c>
      <c r="M359" s="195">
        <v>0</v>
      </c>
      <c r="N359" s="195">
        <v>0</v>
      </c>
      <c r="O359" s="195">
        <v>0</v>
      </c>
      <c r="P359" s="195">
        <v>0</v>
      </c>
      <c r="Q359">
        <v>0</v>
      </c>
      <c r="R359">
        <v>140</v>
      </c>
      <c r="S359">
        <v>0</v>
      </c>
      <c r="T359">
        <v>1459</v>
      </c>
      <c r="U359">
        <v>1393</v>
      </c>
      <c r="V359">
        <v>56</v>
      </c>
      <c r="W359">
        <v>80</v>
      </c>
      <c r="X359">
        <v>264</v>
      </c>
      <c r="Y359">
        <v>12</v>
      </c>
      <c r="Z359" s="195">
        <v>32583000</v>
      </c>
      <c r="AA359" s="195">
        <v>33110000</v>
      </c>
      <c r="AD359" s="139" t="s">
        <v>288</v>
      </c>
    </row>
    <row r="360" spans="1:30" x14ac:dyDescent="0.2">
      <c r="A360" t="s">
        <v>694</v>
      </c>
      <c r="B360" s="194"/>
      <c r="C360" s="139" t="s">
        <v>414</v>
      </c>
      <c r="D360" s="194">
        <v>71162767.638197228</v>
      </c>
      <c r="E360" s="194">
        <v>6742049</v>
      </c>
      <c r="F360" s="195">
        <v>34472755</v>
      </c>
      <c r="G360" s="195">
        <v>1180172.3</v>
      </c>
      <c r="H360" s="195">
        <v>16763575</v>
      </c>
      <c r="I360" s="195">
        <v>8040058.3047997709</v>
      </c>
      <c r="J360" s="195">
        <v>5024</v>
      </c>
      <c r="K360" s="195">
        <v>21668</v>
      </c>
      <c r="L360" s="195">
        <v>0</v>
      </c>
      <c r="M360" s="195">
        <v>303</v>
      </c>
      <c r="N360" s="195">
        <v>0</v>
      </c>
      <c r="O360" s="195">
        <v>0</v>
      </c>
      <c r="P360" s="195">
        <v>108</v>
      </c>
      <c r="Q360">
        <v>0</v>
      </c>
      <c r="R360">
        <v>0</v>
      </c>
      <c r="S360">
        <v>0</v>
      </c>
      <c r="T360">
        <v>11370</v>
      </c>
      <c r="U360">
        <v>8024</v>
      </c>
      <c r="V360">
        <v>1403</v>
      </c>
      <c r="W360">
        <v>3615</v>
      </c>
      <c r="X360">
        <v>1645</v>
      </c>
      <c r="Y360">
        <v>93</v>
      </c>
      <c r="Z360" s="195">
        <v>235271000</v>
      </c>
      <c r="AA360" s="195">
        <v>241690000</v>
      </c>
      <c r="AD360" s="139" t="s">
        <v>414</v>
      </c>
    </row>
    <row r="361" spans="1:30" x14ac:dyDescent="0.2">
      <c r="A361" t="s">
        <v>693</v>
      </c>
      <c r="B361" s="194"/>
      <c r="C361" s="139" t="s">
        <v>216</v>
      </c>
      <c r="D361" s="194">
        <v>22574784.041503869</v>
      </c>
      <c r="E361" s="194">
        <v>2327116</v>
      </c>
      <c r="F361" s="195">
        <v>14240794</v>
      </c>
      <c r="G361" s="195">
        <v>560091.32000000007</v>
      </c>
      <c r="H361" s="195">
        <v>6267942</v>
      </c>
      <c r="I361" s="195">
        <v>5597224.4670778448</v>
      </c>
      <c r="J361" s="195">
        <v>745</v>
      </c>
      <c r="K361" s="195">
        <v>3937</v>
      </c>
      <c r="L361" s="195">
        <v>0</v>
      </c>
      <c r="M361" s="195">
        <v>95</v>
      </c>
      <c r="N361" s="195">
        <v>0</v>
      </c>
      <c r="O361" s="195">
        <v>0</v>
      </c>
      <c r="P361" s="195">
        <v>48</v>
      </c>
      <c r="Q361">
        <v>0</v>
      </c>
      <c r="R361">
        <v>1730</v>
      </c>
      <c r="S361">
        <v>0</v>
      </c>
      <c r="T361">
        <v>1693</v>
      </c>
      <c r="U361">
        <v>2643</v>
      </c>
      <c r="V361">
        <v>134</v>
      </c>
      <c r="W361">
        <v>538</v>
      </c>
      <c r="X361">
        <v>320</v>
      </c>
      <c r="Y361">
        <v>18</v>
      </c>
      <c r="Z361" s="195">
        <v>64348000</v>
      </c>
      <c r="AA361" s="195">
        <v>64933000</v>
      </c>
      <c r="AD361" s="139" t="s">
        <v>216</v>
      </c>
    </row>
    <row r="362" spans="1:30" x14ac:dyDescent="0.2">
      <c r="A362" t="s">
        <v>694</v>
      </c>
      <c r="B362" s="194"/>
      <c r="C362" s="139" t="s">
        <v>415</v>
      </c>
      <c r="D362" s="194">
        <v>9776052.1129273586</v>
      </c>
      <c r="E362" s="194">
        <v>941713</v>
      </c>
      <c r="F362" s="195">
        <v>4334313</v>
      </c>
      <c r="G362" s="195">
        <v>205747.22</v>
      </c>
      <c r="H362" s="195">
        <v>1617008</v>
      </c>
      <c r="I362" s="195">
        <v>474889.43432928255</v>
      </c>
      <c r="J362" s="195">
        <v>157</v>
      </c>
      <c r="K362" s="195">
        <v>1959</v>
      </c>
      <c r="L362" s="195">
        <v>94</v>
      </c>
      <c r="M362" s="195">
        <v>715</v>
      </c>
      <c r="N362" s="195">
        <v>0</v>
      </c>
      <c r="O362" s="195">
        <v>0</v>
      </c>
      <c r="P362" s="195">
        <v>0</v>
      </c>
      <c r="Q362">
        <v>250</v>
      </c>
      <c r="R362">
        <v>0</v>
      </c>
      <c r="S362">
        <v>0</v>
      </c>
      <c r="T362">
        <v>2482</v>
      </c>
      <c r="U362">
        <v>1586</v>
      </c>
      <c r="V362">
        <v>287</v>
      </c>
      <c r="W362">
        <v>250</v>
      </c>
      <c r="X362">
        <v>239</v>
      </c>
      <c r="Y362">
        <v>8</v>
      </c>
      <c r="Z362" s="195">
        <v>39970000</v>
      </c>
      <c r="AA362" s="195">
        <v>41105000</v>
      </c>
      <c r="AD362" s="139" t="s">
        <v>415</v>
      </c>
    </row>
    <row r="363" spans="1:30" x14ac:dyDescent="0.2">
      <c r="A363" t="s">
        <v>695</v>
      </c>
      <c r="B363" s="194"/>
      <c r="C363" s="139" t="s">
        <v>238</v>
      </c>
      <c r="D363" s="194">
        <v>16148073.165290933</v>
      </c>
      <c r="E363" s="194">
        <v>1446566</v>
      </c>
      <c r="F363" s="195">
        <v>8227089</v>
      </c>
      <c r="G363" s="195">
        <v>294030.26</v>
      </c>
      <c r="H363" s="195">
        <v>2964867</v>
      </c>
      <c r="I363" s="195">
        <v>2626888.0824612579</v>
      </c>
      <c r="J363" s="195">
        <v>307</v>
      </c>
      <c r="K363" s="195">
        <v>2780</v>
      </c>
      <c r="L363" s="195">
        <v>121</v>
      </c>
      <c r="M363" s="195">
        <v>135</v>
      </c>
      <c r="N363" s="195">
        <v>60</v>
      </c>
      <c r="O363" s="195">
        <v>2</v>
      </c>
      <c r="P363" s="195">
        <v>90</v>
      </c>
      <c r="Q363">
        <v>0</v>
      </c>
      <c r="R363">
        <v>0</v>
      </c>
      <c r="S363">
        <v>0</v>
      </c>
      <c r="T363">
        <v>2474</v>
      </c>
      <c r="U363">
        <v>1828</v>
      </c>
      <c r="V363">
        <v>253</v>
      </c>
      <c r="W363">
        <v>641</v>
      </c>
      <c r="X363">
        <v>431</v>
      </c>
      <c r="Y363">
        <v>24</v>
      </c>
      <c r="Z363" s="195">
        <v>42485000</v>
      </c>
      <c r="AA363" s="195">
        <v>42697000</v>
      </c>
      <c r="AD363" s="139" t="s">
        <v>238</v>
      </c>
    </row>
    <row r="364" spans="1:30" x14ac:dyDescent="0.2">
      <c r="A364" t="s">
        <v>692</v>
      </c>
      <c r="B364" s="194"/>
      <c r="C364" s="139" t="s">
        <v>289</v>
      </c>
      <c r="D364" s="194">
        <v>30552363.323939443</v>
      </c>
      <c r="E364" s="194">
        <v>2773932</v>
      </c>
      <c r="F364" s="195">
        <v>18164287</v>
      </c>
      <c r="G364" s="195">
        <v>592755.43999999994</v>
      </c>
      <c r="H364" s="195">
        <v>9834998</v>
      </c>
      <c r="I364" s="195">
        <v>5963259.442974396</v>
      </c>
      <c r="J364" s="195">
        <v>1073</v>
      </c>
      <c r="K364" s="195">
        <v>6443</v>
      </c>
      <c r="L364" s="195">
        <v>335</v>
      </c>
      <c r="M364" s="195">
        <v>33</v>
      </c>
      <c r="N364" s="195">
        <v>422</v>
      </c>
      <c r="O364" s="195">
        <v>0</v>
      </c>
      <c r="P364" s="195">
        <v>0</v>
      </c>
      <c r="Q364">
        <v>0</v>
      </c>
      <c r="R364">
        <v>0</v>
      </c>
      <c r="S364">
        <v>0</v>
      </c>
      <c r="T364">
        <v>3795</v>
      </c>
      <c r="U364">
        <v>3063</v>
      </c>
      <c r="V364">
        <v>0</v>
      </c>
      <c r="W364">
        <v>589</v>
      </c>
      <c r="X364">
        <v>709</v>
      </c>
      <c r="Y364">
        <v>24</v>
      </c>
      <c r="Z364" s="195">
        <v>84845000</v>
      </c>
      <c r="AA364" s="195">
        <v>84608000</v>
      </c>
      <c r="AD364" s="139" t="s">
        <v>289</v>
      </c>
    </row>
    <row r="365" spans="1:30" x14ac:dyDescent="0.2">
      <c r="A365" t="s">
        <v>691</v>
      </c>
      <c r="B365" s="194"/>
      <c r="C365" s="139" t="s">
        <v>360</v>
      </c>
      <c r="D365" s="194">
        <v>14564519.966532487</v>
      </c>
      <c r="E365" s="194">
        <v>1493048</v>
      </c>
      <c r="F365" s="195">
        <v>5717213</v>
      </c>
      <c r="G365" s="195">
        <v>286869.26</v>
      </c>
      <c r="H365" s="195">
        <v>2931907</v>
      </c>
      <c r="I365" s="195">
        <v>986752.84404616966</v>
      </c>
      <c r="J365" s="195">
        <v>518</v>
      </c>
      <c r="K365" s="195">
        <v>5418</v>
      </c>
      <c r="L365" s="195">
        <v>141</v>
      </c>
      <c r="M365" s="195">
        <v>302</v>
      </c>
      <c r="N365" s="195">
        <v>0</v>
      </c>
      <c r="O365" s="195">
        <v>0</v>
      </c>
      <c r="P365" s="195">
        <v>409</v>
      </c>
      <c r="Q365">
        <v>0</v>
      </c>
      <c r="R365">
        <v>0</v>
      </c>
      <c r="S365">
        <v>51</v>
      </c>
      <c r="T365">
        <v>3693</v>
      </c>
      <c r="U365">
        <v>2462</v>
      </c>
      <c r="V365">
        <v>320</v>
      </c>
      <c r="W365">
        <v>570</v>
      </c>
      <c r="X365">
        <v>367</v>
      </c>
      <c r="Y365">
        <v>33</v>
      </c>
      <c r="Z365" s="195">
        <v>50048000</v>
      </c>
      <c r="AA365" s="195">
        <v>49035000</v>
      </c>
      <c r="AD365" s="139" t="s">
        <v>360</v>
      </c>
    </row>
    <row r="366" spans="1:30" x14ac:dyDescent="0.2">
      <c r="A366" t="s">
        <v>697</v>
      </c>
      <c r="B366" s="194"/>
      <c r="C366" s="139" t="s">
        <v>315</v>
      </c>
      <c r="D366" s="194">
        <v>16224300.477592275</v>
      </c>
      <c r="E366" s="194">
        <v>1242650</v>
      </c>
      <c r="F366" s="195">
        <v>8365864</v>
      </c>
      <c r="G366" s="195">
        <v>245809.68</v>
      </c>
      <c r="H366" s="195">
        <v>3635655</v>
      </c>
      <c r="I366" s="195">
        <v>1692792.7834877921</v>
      </c>
      <c r="J366" s="195">
        <v>328</v>
      </c>
      <c r="K366" s="195">
        <v>4421</v>
      </c>
      <c r="L366" s="195">
        <v>118</v>
      </c>
      <c r="M366" s="195">
        <v>25</v>
      </c>
      <c r="N366" s="195">
        <v>0</v>
      </c>
      <c r="O366" s="195">
        <v>0</v>
      </c>
      <c r="P366" s="195">
        <v>0</v>
      </c>
      <c r="Q366">
        <v>18</v>
      </c>
      <c r="R366">
        <v>350</v>
      </c>
      <c r="S366">
        <v>0</v>
      </c>
      <c r="T366">
        <v>2351</v>
      </c>
      <c r="U366">
        <v>1856</v>
      </c>
      <c r="V366">
        <v>151</v>
      </c>
      <c r="W366">
        <v>478</v>
      </c>
      <c r="X366">
        <v>493</v>
      </c>
      <c r="Y366">
        <v>18</v>
      </c>
      <c r="Z366" s="195">
        <v>45541000</v>
      </c>
      <c r="AA366" s="195">
        <v>45471000</v>
      </c>
      <c r="AD366" s="139" t="s">
        <v>315</v>
      </c>
    </row>
    <row r="367" spans="1:30" x14ac:dyDescent="0.2">
      <c r="A367" t="s">
        <v>698</v>
      </c>
      <c r="B367" s="194"/>
      <c r="C367" s="139" t="s">
        <v>195</v>
      </c>
      <c r="D367" s="194">
        <v>11641311.926243685</v>
      </c>
      <c r="E367" s="194">
        <v>973916</v>
      </c>
      <c r="F367" s="195">
        <v>6744059</v>
      </c>
      <c r="G367" s="195">
        <v>213359.22</v>
      </c>
      <c r="H367" s="195">
        <v>3640573</v>
      </c>
      <c r="I367" s="195">
        <v>2257922.004399782</v>
      </c>
      <c r="J367" s="195">
        <v>240</v>
      </c>
      <c r="K367" s="195">
        <v>2283</v>
      </c>
      <c r="L367" s="195">
        <v>0</v>
      </c>
      <c r="M367" s="195">
        <v>0</v>
      </c>
      <c r="N367" s="195">
        <v>35</v>
      </c>
      <c r="O367" s="195">
        <v>0</v>
      </c>
      <c r="P367" s="195">
        <v>0</v>
      </c>
      <c r="Q367">
        <v>0</v>
      </c>
      <c r="R367">
        <v>0</v>
      </c>
      <c r="S367">
        <v>3</v>
      </c>
      <c r="T367">
        <v>1255</v>
      </c>
      <c r="U367">
        <v>1398</v>
      </c>
      <c r="V367">
        <v>184</v>
      </c>
      <c r="W367">
        <v>307</v>
      </c>
      <c r="X367">
        <v>267</v>
      </c>
      <c r="Y367">
        <v>2</v>
      </c>
      <c r="Z367" s="195">
        <v>32089000</v>
      </c>
      <c r="AA367" s="195">
        <v>32918000</v>
      </c>
      <c r="AD367" s="139" t="s">
        <v>195</v>
      </c>
    </row>
    <row r="368" spans="1:30" x14ac:dyDescent="0.2">
      <c r="A368" t="s">
        <v>692</v>
      </c>
      <c r="B368" s="194"/>
      <c r="C368" s="139" t="s">
        <v>290</v>
      </c>
      <c r="D368" s="194">
        <v>24855176.749114692</v>
      </c>
      <c r="E368" s="194">
        <v>2570667</v>
      </c>
      <c r="F368" s="195">
        <v>17784925</v>
      </c>
      <c r="G368" s="195">
        <v>638626.14</v>
      </c>
      <c r="H368" s="195">
        <v>8595310</v>
      </c>
      <c r="I368" s="195">
        <v>7921781.9930543834</v>
      </c>
      <c r="J368" s="195">
        <v>1099</v>
      </c>
      <c r="K368" s="195">
        <v>4159</v>
      </c>
      <c r="L368" s="195">
        <v>0</v>
      </c>
      <c r="M368" s="195">
        <v>836</v>
      </c>
      <c r="N368" s="195">
        <v>105</v>
      </c>
      <c r="O368" s="195">
        <v>0</v>
      </c>
      <c r="P368" s="195">
        <v>60</v>
      </c>
      <c r="Q368">
        <v>0</v>
      </c>
      <c r="R368">
        <v>40</v>
      </c>
      <c r="S368">
        <v>0</v>
      </c>
      <c r="T368">
        <v>3828</v>
      </c>
      <c r="U368">
        <v>2838</v>
      </c>
      <c r="V368">
        <v>209</v>
      </c>
      <c r="W368">
        <v>307</v>
      </c>
      <c r="X368">
        <v>541</v>
      </c>
      <c r="Y368">
        <v>98</v>
      </c>
      <c r="Z368" s="195">
        <v>80538000</v>
      </c>
      <c r="AA368" s="195">
        <v>82098000</v>
      </c>
      <c r="AD368" s="139" t="s">
        <v>290</v>
      </c>
    </row>
    <row r="369" spans="1:30" x14ac:dyDescent="0.2">
      <c r="A369" t="s">
        <v>690</v>
      </c>
      <c r="B369" s="194"/>
      <c r="C369" s="139" t="s">
        <v>494</v>
      </c>
      <c r="D369" s="194">
        <v>15233650.991655845</v>
      </c>
      <c r="E369" s="194">
        <v>1623697</v>
      </c>
      <c r="F369" s="195">
        <v>9663593</v>
      </c>
      <c r="G369" s="195">
        <v>235788.32</v>
      </c>
      <c r="H369" s="195">
        <v>3823567</v>
      </c>
      <c r="I369" s="195">
        <v>2676201.2515534074</v>
      </c>
      <c r="J369" s="195">
        <v>753</v>
      </c>
      <c r="K369" s="195">
        <v>3331</v>
      </c>
      <c r="L369" s="195">
        <v>177</v>
      </c>
      <c r="M369" s="195">
        <v>329</v>
      </c>
      <c r="N369" s="195">
        <v>0</v>
      </c>
      <c r="O369" s="195">
        <v>0</v>
      </c>
      <c r="P369" s="195">
        <v>42</v>
      </c>
      <c r="Q369">
        <v>0</v>
      </c>
      <c r="R369">
        <v>0</v>
      </c>
      <c r="S369">
        <v>0</v>
      </c>
      <c r="T369">
        <v>1859</v>
      </c>
      <c r="U369">
        <v>2006</v>
      </c>
      <c r="V369">
        <v>70</v>
      </c>
      <c r="W369">
        <v>286</v>
      </c>
      <c r="X369">
        <v>359</v>
      </c>
      <c r="Y369">
        <v>25</v>
      </c>
      <c r="Z369" s="195">
        <v>41489000</v>
      </c>
      <c r="AA369" s="195">
        <v>42910000</v>
      </c>
      <c r="AD369" s="139" t="s">
        <v>494</v>
      </c>
    </row>
    <row r="370" spans="1:30" x14ac:dyDescent="0.2">
      <c r="A370" t="s">
        <v>697</v>
      </c>
      <c r="B370" s="194"/>
      <c r="C370" s="139" t="s">
        <v>316</v>
      </c>
      <c r="D370" s="194">
        <v>40286542.810174897</v>
      </c>
      <c r="E370" s="194">
        <v>2926695</v>
      </c>
      <c r="F370" s="195">
        <v>19291988</v>
      </c>
      <c r="G370" s="195">
        <v>598422.06000000006</v>
      </c>
      <c r="H370" s="195">
        <v>7461475</v>
      </c>
      <c r="I370" s="195">
        <v>6004840.9903236777</v>
      </c>
      <c r="J370" s="195">
        <v>1526</v>
      </c>
      <c r="K370" s="195">
        <v>9162</v>
      </c>
      <c r="L370" s="195">
        <v>170</v>
      </c>
      <c r="M370" s="195">
        <v>52</v>
      </c>
      <c r="N370" s="195">
        <v>0</v>
      </c>
      <c r="O370" s="195">
        <v>0</v>
      </c>
      <c r="P370" s="195">
        <v>0</v>
      </c>
      <c r="Q370">
        <v>1614</v>
      </c>
      <c r="R370">
        <v>88</v>
      </c>
      <c r="S370">
        <v>0</v>
      </c>
      <c r="T370">
        <v>4306</v>
      </c>
      <c r="U370">
        <v>4156</v>
      </c>
      <c r="V370">
        <v>718</v>
      </c>
      <c r="W370">
        <v>1183</v>
      </c>
      <c r="X370">
        <v>751</v>
      </c>
      <c r="Y370">
        <v>80</v>
      </c>
      <c r="Z370" s="195">
        <v>108782000</v>
      </c>
      <c r="AA370" s="195">
        <v>110942000</v>
      </c>
      <c r="AD370" s="139" t="s">
        <v>316</v>
      </c>
    </row>
    <row r="371" spans="1:30" x14ac:dyDescent="0.2">
      <c r="A371" t="s">
        <v>691</v>
      </c>
      <c r="B371" s="194"/>
      <c r="C371" s="139" t="s">
        <v>361</v>
      </c>
      <c r="D371" s="194">
        <v>11795414.408349235</v>
      </c>
      <c r="E371" s="194">
        <v>1087660</v>
      </c>
      <c r="F371" s="195">
        <v>4851087</v>
      </c>
      <c r="G371" s="195">
        <v>256323.08000000002</v>
      </c>
      <c r="H371" s="195">
        <v>2917983</v>
      </c>
      <c r="I371" s="195">
        <v>707396.15248323511</v>
      </c>
      <c r="J371" s="195">
        <v>336</v>
      </c>
      <c r="K371" s="195">
        <v>2533</v>
      </c>
      <c r="L371" s="195">
        <v>67</v>
      </c>
      <c r="M371" s="195">
        <v>0</v>
      </c>
      <c r="N371" s="195">
        <v>0</v>
      </c>
      <c r="O371" s="195">
        <v>0</v>
      </c>
      <c r="P371" s="195">
        <v>18</v>
      </c>
      <c r="Q371">
        <v>0</v>
      </c>
      <c r="R371">
        <v>0</v>
      </c>
      <c r="S371">
        <v>17</v>
      </c>
      <c r="T371">
        <v>1551</v>
      </c>
      <c r="U371">
        <v>1818</v>
      </c>
      <c r="V371">
        <v>141</v>
      </c>
      <c r="W371">
        <v>220</v>
      </c>
      <c r="X371">
        <v>299</v>
      </c>
      <c r="Y371">
        <v>18</v>
      </c>
      <c r="Z371" s="195">
        <v>31896000</v>
      </c>
      <c r="AA371" s="195">
        <v>31892000</v>
      </c>
      <c r="AD371" s="139" t="s">
        <v>361</v>
      </c>
    </row>
    <row r="372" spans="1:30" x14ac:dyDescent="0.2">
      <c r="A372" t="s">
        <v>697</v>
      </c>
      <c r="B372" s="194"/>
      <c r="C372" s="139" t="s">
        <v>317</v>
      </c>
      <c r="D372" s="194">
        <v>8070017.0845476761</v>
      </c>
      <c r="E372" s="194">
        <v>757227</v>
      </c>
      <c r="F372" s="195">
        <v>4414331</v>
      </c>
      <c r="G372" s="195">
        <v>173047.5</v>
      </c>
      <c r="H372" s="195">
        <v>1309529</v>
      </c>
      <c r="I372" s="195">
        <v>660467.48090335948</v>
      </c>
      <c r="J372" s="195">
        <v>280</v>
      </c>
      <c r="K372" s="195">
        <v>1972</v>
      </c>
      <c r="L372" s="195">
        <v>60</v>
      </c>
      <c r="M372" s="195">
        <v>192</v>
      </c>
      <c r="N372" s="195">
        <v>0</v>
      </c>
      <c r="O372" s="195">
        <v>0</v>
      </c>
      <c r="P372" s="195">
        <v>0</v>
      </c>
      <c r="Q372">
        <v>0</v>
      </c>
      <c r="R372">
        <v>0</v>
      </c>
      <c r="S372">
        <v>0</v>
      </c>
      <c r="T372">
        <v>945</v>
      </c>
      <c r="U372">
        <v>1077</v>
      </c>
      <c r="V372">
        <v>144</v>
      </c>
      <c r="W372">
        <v>281</v>
      </c>
      <c r="X372">
        <v>202</v>
      </c>
      <c r="Y372">
        <v>6</v>
      </c>
      <c r="Z372" s="195">
        <v>29817000</v>
      </c>
      <c r="AA372" s="195">
        <v>31473000</v>
      </c>
      <c r="AD372" s="139" t="s">
        <v>317</v>
      </c>
    </row>
    <row r="373" spans="1:30" x14ac:dyDescent="0.2">
      <c r="A373" t="s">
        <v>690</v>
      </c>
      <c r="B373" s="194"/>
      <c r="C373" s="139" t="s">
        <v>495</v>
      </c>
      <c r="D373" s="194">
        <v>9832716.9877714142</v>
      </c>
      <c r="E373" s="194">
        <v>931389</v>
      </c>
      <c r="F373" s="195">
        <v>5417134</v>
      </c>
      <c r="G373" s="195">
        <v>213629.08000000002</v>
      </c>
      <c r="H373" s="195">
        <v>1821044</v>
      </c>
      <c r="I373" s="195">
        <v>1211207.5581712113</v>
      </c>
      <c r="J373" s="195">
        <v>364</v>
      </c>
      <c r="K373" s="195">
        <v>2081</v>
      </c>
      <c r="L373" s="195">
        <v>54</v>
      </c>
      <c r="M373" s="195">
        <v>54</v>
      </c>
      <c r="N373" s="195">
        <v>0</v>
      </c>
      <c r="O373" s="195">
        <v>4</v>
      </c>
      <c r="P373" s="195">
        <v>0</v>
      </c>
      <c r="Q373">
        <v>0</v>
      </c>
      <c r="R373">
        <v>18</v>
      </c>
      <c r="S373">
        <v>7</v>
      </c>
      <c r="T373">
        <v>1529</v>
      </c>
      <c r="U373">
        <v>1203</v>
      </c>
      <c r="V373">
        <v>203</v>
      </c>
      <c r="W373">
        <v>350</v>
      </c>
      <c r="X373">
        <v>224</v>
      </c>
      <c r="Y373">
        <v>5</v>
      </c>
      <c r="Z373" s="195">
        <v>31604000</v>
      </c>
      <c r="AA373" s="195">
        <v>31943000</v>
      </c>
      <c r="AD373" s="139" t="s">
        <v>495</v>
      </c>
    </row>
    <row r="374" spans="1:30" x14ac:dyDescent="0.2">
      <c r="A374" t="s">
        <v>691</v>
      </c>
      <c r="B374" s="194"/>
      <c r="C374" s="139" t="s">
        <v>362</v>
      </c>
      <c r="D374" s="194">
        <v>141066000.68416339</v>
      </c>
      <c r="E374" s="194">
        <v>10942341</v>
      </c>
      <c r="F374" s="195">
        <v>78457026</v>
      </c>
      <c r="G374" s="195">
        <v>10685146.859999999</v>
      </c>
      <c r="H374" s="195">
        <v>52413169</v>
      </c>
      <c r="I374" s="195">
        <v>14820241.958107395</v>
      </c>
      <c r="J374" s="195">
        <v>5090</v>
      </c>
      <c r="K374" s="195">
        <v>26761</v>
      </c>
      <c r="L374" s="195">
        <v>573</v>
      </c>
      <c r="M374" s="195">
        <v>631</v>
      </c>
      <c r="N374" s="195">
        <v>350</v>
      </c>
      <c r="O374" s="195">
        <v>0</v>
      </c>
      <c r="P374" s="195">
        <v>0</v>
      </c>
      <c r="Q374">
        <v>2948</v>
      </c>
      <c r="R374">
        <v>286</v>
      </c>
      <c r="S374">
        <v>53</v>
      </c>
      <c r="T374">
        <v>21089</v>
      </c>
      <c r="U374">
        <v>18562</v>
      </c>
      <c r="V374">
        <v>975</v>
      </c>
      <c r="W374">
        <v>4773</v>
      </c>
      <c r="X374">
        <v>2897</v>
      </c>
      <c r="Y374">
        <v>270</v>
      </c>
      <c r="Z374" s="195">
        <v>428574008</v>
      </c>
      <c r="AA374" s="195">
        <v>443289000</v>
      </c>
      <c r="AD374" s="139" t="s">
        <v>362</v>
      </c>
    </row>
    <row r="375" spans="1:30" x14ac:dyDescent="0.2">
      <c r="A375" t="s">
        <v>692</v>
      </c>
      <c r="B375" s="194"/>
      <c r="C375" s="139" t="s">
        <v>291</v>
      </c>
      <c r="D375" s="194">
        <v>20098248.577326231</v>
      </c>
      <c r="E375" s="194">
        <v>1635210</v>
      </c>
      <c r="F375" s="195">
        <v>11314025</v>
      </c>
      <c r="G375" s="195">
        <v>524518.1</v>
      </c>
      <c r="H375" s="195">
        <v>4586687</v>
      </c>
      <c r="I375" s="195">
        <v>3592762.9096443304</v>
      </c>
      <c r="J375" s="195">
        <v>1282</v>
      </c>
      <c r="K375" s="195">
        <v>4684</v>
      </c>
      <c r="L375" s="195">
        <v>104</v>
      </c>
      <c r="M375" s="195">
        <v>97</v>
      </c>
      <c r="N375" s="195">
        <v>0</v>
      </c>
      <c r="O375" s="195">
        <v>0</v>
      </c>
      <c r="P375" s="195">
        <v>0</v>
      </c>
      <c r="Q375">
        <v>631</v>
      </c>
      <c r="R375">
        <v>2155</v>
      </c>
      <c r="S375">
        <v>3</v>
      </c>
      <c r="T375">
        <v>3518</v>
      </c>
      <c r="U375">
        <v>0</v>
      </c>
      <c r="V375">
        <v>542</v>
      </c>
      <c r="W375">
        <v>785</v>
      </c>
      <c r="X375">
        <v>417</v>
      </c>
      <c r="Y375">
        <v>35</v>
      </c>
      <c r="Z375" s="195">
        <v>64889000</v>
      </c>
      <c r="AA375" s="195">
        <v>64206000</v>
      </c>
      <c r="AD375" s="139" t="s">
        <v>291</v>
      </c>
    </row>
    <row r="376" spans="1:30" x14ac:dyDescent="0.2">
      <c r="A376" t="s">
        <v>691</v>
      </c>
      <c r="B376" s="194"/>
      <c r="C376" s="139" t="s">
        <v>363</v>
      </c>
      <c r="D376" s="194">
        <v>13244095.03576535</v>
      </c>
      <c r="E376" s="194">
        <v>1599318</v>
      </c>
      <c r="F376" s="195">
        <v>5976696</v>
      </c>
      <c r="G376" s="195">
        <v>221506.72</v>
      </c>
      <c r="H376" s="195">
        <v>5370322</v>
      </c>
      <c r="I376" s="195">
        <v>1252700.3720423132</v>
      </c>
      <c r="J376" s="195">
        <v>366</v>
      </c>
      <c r="K376" s="195">
        <v>3553</v>
      </c>
      <c r="L376" s="195">
        <v>91</v>
      </c>
      <c r="M376" s="195">
        <v>2185</v>
      </c>
      <c r="N376" s="195">
        <v>0</v>
      </c>
      <c r="O376" s="195">
        <v>0</v>
      </c>
      <c r="P376" s="195">
        <v>625</v>
      </c>
      <c r="Q376">
        <v>4130</v>
      </c>
      <c r="R376">
        <v>675</v>
      </c>
      <c r="S376">
        <v>0</v>
      </c>
      <c r="T376">
        <v>2094</v>
      </c>
      <c r="U376">
        <v>1982</v>
      </c>
      <c r="V376">
        <v>311</v>
      </c>
      <c r="W376">
        <v>99</v>
      </c>
      <c r="X376">
        <v>324</v>
      </c>
      <c r="Y376">
        <v>34</v>
      </c>
      <c r="Z376" s="195">
        <v>47301931</v>
      </c>
      <c r="AA376" s="195">
        <v>47162663</v>
      </c>
      <c r="AD376" s="139" t="s">
        <v>363</v>
      </c>
    </row>
    <row r="377" spans="1:30" x14ac:dyDescent="0.2">
      <c r="A377" t="s">
        <v>694</v>
      </c>
      <c r="B377" s="194"/>
      <c r="C377" s="139" t="s">
        <v>416</v>
      </c>
      <c r="D377" s="194">
        <v>9318538.0958867483</v>
      </c>
      <c r="E377" s="194">
        <v>826815</v>
      </c>
      <c r="F377" s="195">
        <v>4255548</v>
      </c>
      <c r="G377" s="195">
        <v>271826.94</v>
      </c>
      <c r="H377" s="195">
        <v>1218827</v>
      </c>
      <c r="I377" s="195">
        <v>787449.83174699266</v>
      </c>
      <c r="J377" s="195">
        <v>410</v>
      </c>
      <c r="K377" s="195">
        <v>2267</v>
      </c>
      <c r="L377" s="195">
        <v>0</v>
      </c>
      <c r="M377" s="195">
        <v>67</v>
      </c>
      <c r="N377" s="195">
        <v>0</v>
      </c>
      <c r="O377" s="195">
        <v>0</v>
      </c>
      <c r="P377" s="195">
        <v>0</v>
      </c>
      <c r="Q377">
        <v>0</v>
      </c>
      <c r="R377">
        <v>822</v>
      </c>
      <c r="S377">
        <v>0</v>
      </c>
      <c r="T377">
        <v>1380</v>
      </c>
      <c r="U377">
        <v>1006</v>
      </c>
      <c r="V377">
        <v>210</v>
      </c>
      <c r="W377">
        <v>380</v>
      </c>
      <c r="X377">
        <v>235</v>
      </c>
      <c r="Y377">
        <v>10</v>
      </c>
      <c r="Z377" s="195">
        <v>25330000</v>
      </c>
      <c r="AA377" s="195">
        <v>26155000</v>
      </c>
      <c r="AD377" s="139" t="s">
        <v>416</v>
      </c>
    </row>
    <row r="378" spans="1:30" x14ac:dyDescent="0.2">
      <c r="A378" t="s">
        <v>696</v>
      </c>
      <c r="B378" s="194"/>
      <c r="C378" s="139" t="s">
        <v>534</v>
      </c>
      <c r="D378" s="194">
        <v>17000019.949387796</v>
      </c>
      <c r="E378" s="194">
        <v>883468</v>
      </c>
      <c r="F378" s="195">
        <v>7134247</v>
      </c>
      <c r="G378" s="195">
        <v>412041.28</v>
      </c>
      <c r="H378" s="195">
        <v>3955132</v>
      </c>
      <c r="I378" s="195">
        <v>684605.11179230933</v>
      </c>
      <c r="J378" s="195">
        <v>1224</v>
      </c>
      <c r="K378" s="195">
        <v>3929</v>
      </c>
      <c r="L378" s="195">
        <v>0</v>
      </c>
      <c r="M378" s="195">
        <v>2092</v>
      </c>
      <c r="N378" s="195">
        <v>0</v>
      </c>
      <c r="O378" s="195">
        <v>0</v>
      </c>
      <c r="P378" s="195">
        <v>337</v>
      </c>
      <c r="Q378">
        <v>0</v>
      </c>
      <c r="R378">
        <v>1190</v>
      </c>
      <c r="S378">
        <v>0</v>
      </c>
      <c r="T378">
        <v>1135</v>
      </c>
      <c r="U378">
        <v>2123</v>
      </c>
      <c r="V378">
        <v>81</v>
      </c>
      <c r="W378">
        <v>705</v>
      </c>
      <c r="X378">
        <v>365</v>
      </c>
      <c r="Y378">
        <v>15</v>
      </c>
      <c r="Z378" s="195">
        <v>47040000</v>
      </c>
      <c r="AA378" s="195">
        <v>48180000</v>
      </c>
      <c r="AD378" s="139" t="s">
        <v>534</v>
      </c>
    </row>
    <row r="379" spans="1:30" x14ac:dyDescent="0.2">
      <c r="A379" t="s">
        <v>697</v>
      </c>
      <c r="B379" s="194"/>
      <c r="C379" s="139" t="s">
        <v>318</v>
      </c>
      <c r="D379" s="194">
        <v>49913748.844814375</v>
      </c>
      <c r="E379" s="194">
        <v>4694920</v>
      </c>
      <c r="F379" s="195">
        <v>29872003</v>
      </c>
      <c r="G379" s="195">
        <v>892836.91999999993</v>
      </c>
      <c r="H379" s="195">
        <v>17151620</v>
      </c>
      <c r="I379" s="195">
        <v>6044440.2814269476</v>
      </c>
      <c r="J379" s="195">
        <v>2010</v>
      </c>
      <c r="K379" s="195">
        <v>9979</v>
      </c>
      <c r="L379" s="195">
        <v>398</v>
      </c>
      <c r="M379" s="195">
        <v>310</v>
      </c>
      <c r="N379" s="195">
        <v>233</v>
      </c>
      <c r="O379" s="195">
        <v>0</v>
      </c>
      <c r="P379" s="195">
        <v>0</v>
      </c>
      <c r="Q379">
        <v>2563</v>
      </c>
      <c r="R379">
        <v>128</v>
      </c>
      <c r="S379">
        <v>0</v>
      </c>
      <c r="T379">
        <v>3910</v>
      </c>
      <c r="U379">
        <v>5722</v>
      </c>
      <c r="V379">
        <v>855</v>
      </c>
      <c r="W379">
        <v>2620</v>
      </c>
      <c r="X379">
        <v>1379</v>
      </c>
      <c r="Y379">
        <v>135</v>
      </c>
      <c r="Z379" s="195">
        <v>151838000</v>
      </c>
      <c r="AA379" s="195">
        <v>151534000</v>
      </c>
      <c r="AD379" s="139" t="s">
        <v>318</v>
      </c>
    </row>
    <row r="380" spans="1:30" x14ac:dyDescent="0.2">
      <c r="A380" t="s">
        <v>692</v>
      </c>
      <c r="B380" s="194"/>
      <c r="C380" s="139" t="s">
        <v>292</v>
      </c>
      <c r="D380" s="194">
        <v>26246863.717873715</v>
      </c>
      <c r="E380" s="194">
        <v>2783462</v>
      </c>
      <c r="F380" s="195">
        <v>15099206</v>
      </c>
      <c r="G380" s="195">
        <v>404536.26</v>
      </c>
      <c r="H380" s="195">
        <v>8112969</v>
      </c>
      <c r="I380" s="195">
        <v>4687653.7266012216</v>
      </c>
      <c r="J380" s="195">
        <v>1129</v>
      </c>
      <c r="K380" s="195">
        <v>6213</v>
      </c>
      <c r="L380" s="195">
        <v>226</v>
      </c>
      <c r="M380" s="195">
        <v>284</v>
      </c>
      <c r="N380" s="195">
        <v>112</v>
      </c>
      <c r="O380" s="195">
        <v>0</v>
      </c>
      <c r="P380" s="195">
        <v>8</v>
      </c>
      <c r="Q380">
        <v>1151</v>
      </c>
      <c r="R380">
        <v>1654</v>
      </c>
      <c r="S380">
        <v>0</v>
      </c>
      <c r="T380">
        <v>2947</v>
      </c>
      <c r="U380">
        <v>1754</v>
      </c>
      <c r="V380">
        <v>147</v>
      </c>
      <c r="W380">
        <v>400</v>
      </c>
      <c r="X380">
        <v>623</v>
      </c>
      <c r="Y380">
        <v>36</v>
      </c>
      <c r="Z380" s="195">
        <v>86961000</v>
      </c>
      <c r="AA380" s="195">
        <v>70351000</v>
      </c>
      <c r="AD380" s="139" t="s">
        <v>292</v>
      </c>
    </row>
    <row r="381" spans="1:30" x14ac:dyDescent="0.2">
      <c r="A381" t="s">
        <v>694</v>
      </c>
      <c r="B381" s="194"/>
      <c r="C381" s="139" t="s">
        <v>417</v>
      </c>
      <c r="D381" s="194">
        <v>108469946.66684461</v>
      </c>
      <c r="E381" s="194">
        <v>7899443</v>
      </c>
      <c r="F381" s="195">
        <v>56250552</v>
      </c>
      <c r="G381" s="195">
        <v>1898322.7</v>
      </c>
      <c r="H381" s="195">
        <v>42573096</v>
      </c>
      <c r="I381" s="195">
        <v>12378788.897035955</v>
      </c>
      <c r="J381" s="195">
        <v>4887</v>
      </c>
      <c r="K381" s="195">
        <v>26942</v>
      </c>
      <c r="L381" s="195">
        <v>521</v>
      </c>
      <c r="M381" s="195">
        <v>244</v>
      </c>
      <c r="N381" s="195">
        <v>0</v>
      </c>
      <c r="O381" s="195">
        <v>0</v>
      </c>
      <c r="P381" s="195">
        <v>0</v>
      </c>
      <c r="Q381">
        <v>1795</v>
      </c>
      <c r="R381">
        <v>292</v>
      </c>
      <c r="S381">
        <v>0</v>
      </c>
      <c r="T381">
        <v>6573</v>
      </c>
      <c r="U381">
        <v>13327</v>
      </c>
      <c r="V381">
        <v>838</v>
      </c>
      <c r="W381">
        <v>1305</v>
      </c>
      <c r="X381">
        <v>2508</v>
      </c>
      <c r="Y381">
        <v>172</v>
      </c>
      <c r="Z381" s="195">
        <v>372744000</v>
      </c>
      <c r="AA381" s="195">
        <v>377234000</v>
      </c>
      <c r="AD381" s="139" t="s">
        <v>417</v>
      </c>
    </row>
    <row r="382" spans="1:30" x14ac:dyDescent="0.2">
      <c r="A382" t="s">
        <v>694</v>
      </c>
      <c r="B382" s="194"/>
      <c r="C382" s="139" t="s">
        <v>418</v>
      </c>
      <c r="D382" s="194">
        <v>5409899.9018918592</v>
      </c>
      <c r="E382" s="194">
        <v>599432</v>
      </c>
      <c r="F382" s="195">
        <v>3011148</v>
      </c>
      <c r="G382" s="195">
        <v>94790.88</v>
      </c>
      <c r="H382" s="195">
        <v>915598</v>
      </c>
      <c r="I382" s="195">
        <v>639210.6308358378</v>
      </c>
      <c r="J382" s="195">
        <v>950</v>
      </c>
      <c r="K382" s="195">
        <v>2599</v>
      </c>
      <c r="L382" s="195">
        <v>0</v>
      </c>
      <c r="M382" s="195">
        <v>0</v>
      </c>
      <c r="N382" s="195">
        <v>0</v>
      </c>
      <c r="O382" s="195">
        <v>0</v>
      </c>
      <c r="P382" s="195">
        <v>0</v>
      </c>
      <c r="Q382">
        <v>0</v>
      </c>
      <c r="R382">
        <v>685</v>
      </c>
      <c r="S382">
        <v>0</v>
      </c>
      <c r="T382">
        <v>1005</v>
      </c>
      <c r="U382">
        <v>732</v>
      </c>
      <c r="V382">
        <v>5</v>
      </c>
      <c r="W382">
        <v>280</v>
      </c>
      <c r="X382">
        <v>138</v>
      </c>
      <c r="Y382">
        <v>0</v>
      </c>
      <c r="Z382" s="195">
        <v>18526992</v>
      </c>
      <c r="AA382" s="195">
        <v>18996157</v>
      </c>
      <c r="AD382" s="139" t="s">
        <v>418</v>
      </c>
    </row>
    <row r="383" spans="1:30" x14ac:dyDescent="0.2">
      <c r="A383" t="s">
        <v>698</v>
      </c>
      <c r="B383" s="194"/>
      <c r="C383" s="139" t="s">
        <v>196</v>
      </c>
      <c r="D383" s="194">
        <v>13988363.23429592</v>
      </c>
      <c r="E383" s="194">
        <v>1167522</v>
      </c>
      <c r="F383" s="195">
        <v>8265165</v>
      </c>
      <c r="G383" s="195">
        <v>293225.14</v>
      </c>
      <c r="H383" s="195">
        <v>3023288</v>
      </c>
      <c r="I383" s="195">
        <v>2283473.6904048529</v>
      </c>
      <c r="J383" s="195">
        <v>1006</v>
      </c>
      <c r="K383" s="195">
        <v>3844</v>
      </c>
      <c r="L383" s="195">
        <v>0</v>
      </c>
      <c r="M383" s="195">
        <v>0</v>
      </c>
      <c r="N383" s="195">
        <v>27</v>
      </c>
      <c r="O383" s="195">
        <v>0</v>
      </c>
      <c r="P383" s="195">
        <v>0</v>
      </c>
      <c r="Q383">
        <v>0</v>
      </c>
      <c r="R383">
        <v>0</v>
      </c>
      <c r="S383">
        <v>0</v>
      </c>
      <c r="T383">
        <v>1329</v>
      </c>
      <c r="U383">
        <v>1614</v>
      </c>
      <c r="V383">
        <v>211</v>
      </c>
      <c r="W383">
        <v>448</v>
      </c>
      <c r="X383">
        <v>282</v>
      </c>
      <c r="Y383">
        <v>4</v>
      </c>
      <c r="Z383" s="195">
        <v>40228000</v>
      </c>
      <c r="AA383" s="195">
        <v>41041000</v>
      </c>
      <c r="AD383" s="139" t="s">
        <v>196</v>
      </c>
    </row>
    <row r="384" spans="1:30" x14ac:dyDescent="0.2">
      <c r="A384" t="s">
        <v>694</v>
      </c>
      <c r="B384" s="194"/>
      <c r="C384" s="139" t="s">
        <v>419</v>
      </c>
      <c r="D384" s="194">
        <v>28742900.199945129</v>
      </c>
      <c r="E384" s="194">
        <v>2139390</v>
      </c>
      <c r="F384" s="195">
        <v>13689211</v>
      </c>
      <c r="G384" s="195">
        <v>568901.6</v>
      </c>
      <c r="H384" s="195">
        <v>6619118</v>
      </c>
      <c r="I384" s="195">
        <v>2877459.4272653195</v>
      </c>
      <c r="J384" s="195">
        <v>997</v>
      </c>
      <c r="K384" s="195">
        <v>6571</v>
      </c>
      <c r="L384" s="195">
        <v>242</v>
      </c>
      <c r="M384" s="195">
        <v>74</v>
      </c>
      <c r="N384" s="195">
        <v>0</v>
      </c>
      <c r="O384" s="195">
        <v>0</v>
      </c>
      <c r="P384" s="195">
        <v>41</v>
      </c>
      <c r="Q384">
        <v>0</v>
      </c>
      <c r="R384">
        <v>1909</v>
      </c>
      <c r="S384">
        <v>5</v>
      </c>
      <c r="T384">
        <v>4515</v>
      </c>
      <c r="U384">
        <v>4027</v>
      </c>
      <c r="V384">
        <v>547</v>
      </c>
      <c r="W384">
        <v>663</v>
      </c>
      <c r="X384">
        <v>581</v>
      </c>
      <c r="Y384">
        <v>26</v>
      </c>
      <c r="Z384" s="195">
        <v>91511000</v>
      </c>
      <c r="AA384" s="195">
        <v>93028000</v>
      </c>
      <c r="AD384" s="139" t="s">
        <v>419</v>
      </c>
    </row>
    <row r="385" spans="1:30" x14ac:dyDescent="0.2">
      <c r="A385" t="s">
        <v>690</v>
      </c>
      <c r="B385" s="194"/>
      <c r="C385" s="139" t="s">
        <v>496</v>
      </c>
      <c r="D385" s="194">
        <v>14489857.053711355</v>
      </c>
      <c r="E385" s="194">
        <v>1766189</v>
      </c>
      <c r="F385" s="195">
        <v>9120711</v>
      </c>
      <c r="G385" s="195">
        <v>215214.4</v>
      </c>
      <c r="H385" s="195">
        <v>2721385</v>
      </c>
      <c r="I385" s="195">
        <v>2378151.7934122141</v>
      </c>
      <c r="J385" s="195">
        <v>476</v>
      </c>
      <c r="K385" s="195">
        <v>3753</v>
      </c>
      <c r="L385" s="195">
        <v>61</v>
      </c>
      <c r="M385" s="195">
        <v>174</v>
      </c>
      <c r="N385" s="195">
        <v>0</v>
      </c>
      <c r="O385" s="195">
        <v>0</v>
      </c>
      <c r="P385" s="195">
        <v>17</v>
      </c>
      <c r="Q385">
        <v>0</v>
      </c>
      <c r="R385">
        <v>0</v>
      </c>
      <c r="S385">
        <v>0</v>
      </c>
      <c r="T385">
        <v>2537</v>
      </c>
      <c r="U385">
        <v>1331</v>
      </c>
      <c r="V385">
        <v>2</v>
      </c>
      <c r="W385">
        <v>439</v>
      </c>
      <c r="X385">
        <v>363</v>
      </c>
      <c r="Y385">
        <v>20</v>
      </c>
      <c r="Z385" s="195">
        <v>43237000</v>
      </c>
      <c r="AA385" s="195">
        <v>44191000</v>
      </c>
      <c r="AD385" s="139" t="s">
        <v>496</v>
      </c>
    </row>
    <row r="386" spans="1:30" x14ac:dyDescent="0.2">
      <c r="A386" t="s">
        <v>692</v>
      </c>
      <c r="B386" s="194"/>
      <c r="C386" s="139" t="s">
        <v>293</v>
      </c>
      <c r="D386" s="194">
        <v>43533779.853330463</v>
      </c>
      <c r="E386" s="194">
        <v>3992419</v>
      </c>
      <c r="F386" s="195">
        <v>33819054</v>
      </c>
      <c r="G386" s="195">
        <v>765955.78</v>
      </c>
      <c r="H386" s="195">
        <v>19166130</v>
      </c>
      <c r="I386" s="195">
        <v>13045782.073535129</v>
      </c>
      <c r="J386" s="195">
        <v>1417</v>
      </c>
      <c r="K386" s="195">
        <v>6900</v>
      </c>
      <c r="L386" s="195">
        <v>269</v>
      </c>
      <c r="M386" s="195">
        <v>141</v>
      </c>
      <c r="N386" s="195">
        <v>0</v>
      </c>
      <c r="O386" s="195">
        <v>0</v>
      </c>
      <c r="P386" s="195">
        <v>0</v>
      </c>
      <c r="Q386">
        <v>2089</v>
      </c>
      <c r="R386">
        <v>1084</v>
      </c>
      <c r="S386">
        <v>0</v>
      </c>
      <c r="T386">
        <v>3910</v>
      </c>
      <c r="U386">
        <v>4463</v>
      </c>
      <c r="V386">
        <v>381</v>
      </c>
      <c r="W386">
        <v>1041</v>
      </c>
      <c r="X386">
        <v>880</v>
      </c>
      <c r="Y386">
        <v>217</v>
      </c>
      <c r="Z386" s="195">
        <v>152295000</v>
      </c>
      <c r="AA386" s="195">
        <v>155564000</v>
      </c>
      <c r="AD386" s="139" t="s">
        <v>293</v>
      </c>
    </row>
    <row r="387" spans="1:30" x14ac:dyDescent="0.2">
      <c r="A387" t="s">
        <v>695</v>
      </c>
      <c r="B387" s="194"/>
      <c r="C387" s="139" t="s">
        <v>239</v>
      </c>
      <c r="D387" s="194">
        <v>15812122.922338121</v>
      </c>
      <c r="E387" s="194">
        <v>1243705</v>
      </c>
      <c r="F387" s="195">
        <v>8456971</v>
      </c>
      <c r="G387" s="195">
        <v>516413.54000000004</v>
      </c>
      <c r="H387" s="195">
        <v>2597503</v>
      </c>
      <c r="I387" s="195">
        <v>1526113.3892334923</v>
      </c>
      <c r="J387" s="195">
        <v>914</v>
      </c>
      <c r="K387" s="195">
        <v>3440</v>
      </c>
      <c r="L387" s="195">
        <v>75</v>
      </c>
      <c r="M387" s="195">
        <v>41</v>
      </c>
      <c r="N387" s="195">
        <v>0</v>
      </c>
      <c r="O387" s="195">
        <v>0</v>
      </c>
      <c r="P387" s="195">
        <v>22</v>
      </c>
      <c r="Q387">
        <v>0</v>
      </c>
      <c r="R387">
        <v>13</v>
      </c>
      <c r="S387">
        <v>0</v>
      </c>
      <c r="T387">
        <v>3525</v>
      </c>
      <c r="U387">
        <v>1355</v>
      </c>
      <c r="V387">
        <v>432</v>
      </c>
      <c r="W387">
        <v>709</v>
      </c>
      <c r="X387">
        <v>368</v>
      </c>
      <c r="Y387">
        <v>65</v>
      </c>
      <c r="Z387" s="195">
        <v>55292000</v>
      </c>
      <c r="AA387" s="195">
        <v>55354000</v>
      </c>
      <c r="AD387" s="139" t="s">
        <v>239</v>
      </c>
    </row>
    <row r="388" spans="1:30" x14ac:dyDescent="0.2">
      <c r="A388" t="s">
        <v>694</v>
      </c>
      <c r="B388" s="194"/>
      <c r="C388" s="139" t="s">
        <v>420</v>
      </c>
      <c r="D388" s="194">
        <v>38503659.117818877</v>
      </c>
      <c r="E388" s="194">
        <v>3781128</v>
      </c>
      <c r="F388" s="195">
        <v>19550155</v>
      </c>
      <c r="G388" s="195">
        <v>785895.8</v>
      </c>
      <c r="H388" s="195">
        <v>13874139</v>
      </c>
      <c r="I388" s="195">
        <v>5439181.1031367294</v>
      </c>
      <c r="J388" s="195">
        <v>1703</v>
      </c>
      <c r="K388" s="195">
        <v>7254</v>
      </c>
      <c r="L388" s="195">
        <v>179</v>
      </c>
      <c r="M388" s="195">
        <v>0</v>
      </c>
      <c r="N388" s="195">
        <v>0</v>
      </c>
      <c r="O388" s="195">
        <v>0</v>
      </c>
      <c r="P388" s="195">
        <v>0</v>
      </c>
      <c r="Q388">
        <v>1140</v>
      </c>
      <c r="R388">
        <v>103</v>
      </c>
      <c r="S388">
        <v>0</v>
      </c>
      <c r="T388">
        <v>5409</v>
      </c>
      <c r="U388">
        <v>6291</v>
      </c>
      <c r="V388">
        <v>723</v>
      </c>
      <c r="W388">
        <v>369</v>
      </c>
      <c r="X388">
        <v>886</v>
      </c>
      <c r="Y388">
        <v>71</v>
      </c>
      <c r="Z388" s="195">
        <v>113989000</v>
      </c>
      <c r="AA388" s="195">
        <v>114440000</v>
      </c>
      <c r="AD388" s="139" t="s">
        <v>420</v>
      </c>
    </row>
    <row r="389" spans="1:30" x14ac:dyDescent="0.2">
      <c r="A389" t="s">
        <v>695</v>
      </c>
      <c r="B389" s="194"/>
      <c r="C389" s="139" t="s">
        <v>240</v>
      </c>
      <c r="D389" s="194">
        <v>109411001.977525</v>
      </c>
      <c r="E389" s="194">
        <v>7822815</v>
      </c>
      <c r="F389" s="195">
        <v>127278412</v>
      </c>
      <c r="G389" s="195">
        <v>16787294.18</v>
      </c>
      <c r="H389" s="195">
        <v>45677446</v>
      </c>
      <c r="I389" s="195">
        <v>18342523.090835948</v>
      </c>
      <c r="J389" s="195">
        <v>8279</v>
      </c>
      <c r="K389" s="195">
        <v>26808</v>
      </c>
      <c r="L389" s="195">
        <v>0</v>
      </c>
      <c r="M389" s="195">
        <v>102</v>
      </c>
      <c r="N389" s="195">
        <v>0</v>
      </c>
      <c r="O389" s="195">
        <v>2</v>
      </c>
      <c r="P389" s="195">
        <v>0</v>
      </c>
      <c r="Q389">
        <v>7859</v>
      </c>
      <c r="R389">
        <v>339</v>
      </c>
      <c r="S389">
        <v>0</v>
      </c>
      <c r="T389">
        <v>6428</v>
      </c>
      <c r="U389">
        <v>13394</v>
      </c>
      <c r="V389">
        <v>875</v>
      </c>
      <c r="W389">
        <v>2750</v>
      </c>
      <c r="X389">
        <v>2319</v>
      </c>
      <c r="Y389">
        <v>307</v>
      </c>
      <c r="Z389" s="195">
        <v>474951000</v>
      </c>
      <c r="AA389" s="195">
        <v>470576000</v>
      </c>
      <c r="AD389" s="139" t="s">
        <v>240</v>
      </c>
    </row>
    <row r="390" spans="1:30" x14ac:dyDescent="0.2">
      <c r="B390" s="194"/>
      <c r="C390" s="139" t="s">
        <v>545</v>
      </c>
      <c r="D390" s="194">
        <f t="shared" ref="D390:AA390" si="0">SUM(D2:D389)</f>
        <v>15436903325.944386</v>
      </c>
      <c r="E390" s="194">
        <f t="shared" si="0"/>
        <v>1209426849</v>
      </c>
      <c r="F390" s="195">
        <f t="shared" si="0"/>
        <v>9553498410</v>
      </c>
      <c r="G390" s="195">
        <f t="shared" si="0"/>
        <v>899613772.3900001</v>
      </c>
      <c r="H390" s="195">
        <f t="shared" si="0"/>
        <v>5742762285</v>
      </c>
      <c r="I390" s="195">
        <f t="shared" si="0"/>
        <v>2650994081.9964747</v>
      </c>
      <c r="J390" s="195">
        <f t="shared" si="0"/>
        <v>720897</v>
      </c>
      <c r="K390" s="195">
        <f t="shared" si="0"/>
        <v>3037384</v>
      </c>
      <c r="L390" s="195">
        <f t="shared" si="0"/>
        <v>61933</v>
      </c>
      <c r="M390" s="195">
        <f t="shared" si="0"/>
        <v>188564</v>
      </c>
      <c r="N390" s="195">
        <f t="shared" si="0"/>
        <v>21118</v>
      </c>
      <c r="O390" s="195">
        <f t="shared" si="0"/>
        <v>748</v>
      </c>
      <c r="P390" s="195">
        <f t="shared" si="0"/>
        <v>30172</v>
      </c>
      <c r="Q390">
        <f t="shared" si="0"/>
        <v>674863</v>
      </c>
      <c r="R390">
        <f t="shared" si="0"/>
        <v>203670</v>
      </c>
      <c r="S390">
        <f t="shared" si="0"/>
        <v>1431</v>
      </c>
      <c r="T390">
        <f t="shared" si="0"/>
        <v>1561884</v>
      </c>
      <c r="U390">
        <f t="shared" si="0"/>
        <v>1713880</v>
      </c>
      <c r="V390">
        <f t="shared" si="0"/>
        <v>120621</v>
      </c>
      <c r="W390">
        <f t="shared" si="0"/>
        <v>382504</v>
      </c>
      <c r="X390">
        <f t="shared" si="0"/>
        <v>302878</v>
      </c>
      <c r="Y390">
        <f t="shared" si="0"/>
        <v>32972</v>
      </c>
      <c r="Z390" s="195">
        <f t="shared" si="0"/>
        <v>53556646537</v>
      </c>
      <c r="AA390" s="195">
        <f t="shared" si="0"/>
        <v>53841589310</v>
      </c>
      <c r="AD390" s="139" t="s">
        <v>545</v>
      </c>
    </row>
    <row r="391" spans="1:30" x14ac:dyDescent="0.2">
      <c r="B391" s="194"/>
      <c r="C391" s="139" t="s">
        <v>703</v>
      </c>
      <c r="D391" s="194">
        <f t="shared" ref="D391:AA391" si="1">SUMIF($A$2:$A$389,"GR",D2:D389)</f>
        <v>580078281.80385602</v>
      </c>
      <c r="E391" s="194">
        <f t="shared" si="1"/>
        <v>48586189</v>
      </c>
      <c r="F391" s="195">
        <f t="shared" si="1"/>
        <v>449768087</v>
      </c>
      <c r="G391" s="195">
        <f t="shared" si="1"/>
        <v>43587511.120000012</v>
      </c>
      <c r="H391" s="195">
        <f t="shared" si="1"/>
        <v>283548368</v>
      </c>
      <c r="I391" s="195">
        <f t="shared" si="1"/>
        <v>162783844.47439405</v>
      </c>
      <c r="J391" s="195">
        <f t="shared" si="1"/>
        <v>34086</v>
      </c>
      <c r="K391" s="195">
        <f t="shared" si="1"/>
        <v>118958</v>
      </c>
      <c r="L391" s="195">
        <f t="shared" si="1"/>
        <v>1387</v>
      </c>
      <c r="M391" s="195">
        <f t="shared" si="1"/>
        <v>2067</v>
      </c>
      <c r="N391" s="195">
        <f t="shared" si="1"/>
        <v>545</v>
      </c>
      <c r="O391" s="195">
        <f t="shared" si="1"/>
        <v>0</v>
      </c>
      <c r="P391" s="195">
        <f t="shared" si="1"/>
        <v>299</v>
      </c>
      <c r="Q391">
        <f t="shared" si="1"/>
        <v>8598</v>
      </c>
      <c r="R391">
        <f t="shared" si="1"/>
        <v>2180</v>
      </c>
      <c r="S391">
        <f t="shared" si="1"/>
        <v>76</v>
      </c>
      <c r="T391">
        <f t="shared" si="1"/>
        <v>55976</v>
      </c>
      <c r="U391">
        <f t="shared" si="1"/>
        <v>61359</v>
      </c>
      <c r="V391">
        <f t="shared" si="1"/>
        <v>3841</v>
      </c>
      <c r="W391">
        <f t="shared" si="1"/>
        <v>12825</v>
      </c>
      <c r="X391">
        <f t="shared" si="1"/>
        <v>10049</v>
      </c>
      <c r="Y391">
        <f t="shared" si="1"/>
        <v>850</v>
      </c>
      <c r="Z391" s="195">
        <f t="shared" si="1"/>
        <v>2172621000</v>
      </c>
      <c r="AA391" s="195">
        <f t="shared" si="1"/>
        <v>2163050992</v>
      </c>
      <c r="AD391" s="139" t="s">
        <v>703</v>
      </c>
    </row>
    <row r="392" spans="1:30" x14ac:dyDescent="0.2">
      <c r="B392" s="194"/>
      <c r="C392" s="139" t="s">
        <v>598</v>
      </c>
      <c r="D392" s="194">
        <f t="shared" ref="D392:AA392" si="2">SUMIF($A$2:$A$389,"FR",D2:D389)</f>
        <v>603669706.12812245</v>
      </c>
      <c r="E392" s="194">
        <f t="shared" si="2"/>
        <v>52619440</v>
      </c>
      <c r="F392" s="195">
        <f t="shared" si="2"/>
        <v>410224239</v>
      </c>
      <c r="G392" s="195">
        <f t="shared" si="2"/>
        <v>35367131.719999999</v>
      </c>
      <c r="H392" s="195">
        <f t="shared" si="2"/>
        <v>249374411</v>
      </c>
      <c r="I392" s="195">
        <f t="shared" si="2"/>
        <v>123820574.25955164</v>
      </c>
      <c r="J392" s="195">
        <f t="shared" si="2"/>
        <v>23959</v>
      </c>
      <c r="K392" s="195">
        <f t="shared" si="2"/>
        <v>110099</v>
      </c>
      <c r="L392" s="195">
        <f t="shared" si="2"/>
        <v>1185</v>
      </c>
      <c r="M392" s="195">
        <f t="shared" si="2"/>
        <v>11517</v>
      </c>
      <c r="N392" s="195">
        <f t="shared" si="2"/>
        <v>573</v>
      </c>
      <c r="O392" s="195">
        <f t="shared" si="2"/>
        <v>106</v>
      </c>
      <c r="P392" s="195">
        <f t="shared" si="2"/>
        <v>4525</v>
      </c>
      <c r="Q392">
        <f t="shared" si="2"/>
        <v>11844</v>
      </c>
      <c r="R392">
        <f t="shared" si="2"/>
        <v>12754</v>
      </c>
      <c r="S392">
        <f t="shared" si="2"/>
        <v>8</v>
      </c>
      <c r="T392">
        <f t="shared" si="2"/>
        <v>63432</v>
      </c>
      <c r="U392">
        <f t="shared" si="2"/>
        <v>63255</v>
      </c>
      <c r="V392">
        <f t="shared" si="2"/>
        <v>3798</v>
      </c>
      <c r="W392">
        <f t="shared" si="2"/>
        <v>11580</v>
      </c>
      <c r="X392">
        <f t="shared" si="2"/>
        <v>10021</v>
      </c>
      <c r="Y392">
        <f t="shared" si="2"/>
        <v>547</v>
      </c>
      <c r="Z392" s="195">
        <f t="shared" si="2"/>
        <v>1963081008</v>
      </c>
      <c r="AA392" s="195">
        <f t="shared" si="2"/>
        <v>1967367000</v>
      </c>
      <c r="AD392" s="139" t="s">
        <v>598</v>
      </c>
    </row>
    <row r="393" spans="1:30" x14ac:dyDescent="0.2">
      <c r="B393" s="194"/>
      <c r="C393" s="139" t="s">
        <v>704</v>
      </c>
      <c r="D393" s="194">
        <f t="shared" ref="D393:AA393" si="3">SUMIF($A$2:$A$389,"DR",D2:D389)</f>
        <v>416160628.21566612</v>
      </c>
      <c r="E393" s="194">
        <f t="shared" si="3"/>
        <v>41748774</v>
      </c>
      <c r="F393" s="195">
        <f t="shared" si="3"/>
        <v>341545636</v>
      </c>
      <c r="G393" s="195">
        <f t="shared" si="3"/>
        <v>23642187.060000002</v>
      </c>
      <c r="H393" s="195">
        <f t="shared" si="3"/>
        <v>155684062</v>
      </c>
      <c r="I393" s="195">
        <f t="shared" si="3"/>
        <v>106246990.41484553</v>
      </c>
      <c r="J393" s="195">
        <f t="shared" si="3"/>
        <v>14539</v>
      </c>
      <c r="K393" s="195">
        <f t="shared" si="3"/>
        <v>83770</v>
      </c>
      <c r="L393" s="195">
        <f t="shared" si="3"/>
        <v>84</v>
      </c>
      <c r="M393" s="195">
        <f t="shared" si="3"/>
        <v>7083</v>
      </c>
      <c r="N393" s="195">
        <f t="shared" si="3"/>
        <v>362</v>
      </c>
      <c r="O393" s="195">
        <f t="shared" si="3"/>
        <v>0</v>
      </c>
      <c r="P393" s="195">
        <f t="shared" si="3"/>
        <v>1375</v>
      </c>
      <c r="Q393">
        <f t="shared" si="3"/>
        <v>9576</v>
      </c>
      <c r="R393">
        <f t="shared" si="3"/>
        <v>213</v>
      </c>
      <c r="S393">
        <f t="shared" si="3"/>
        <v>0</v>
      </c>
      <c r="T393">
        <f t="shared" si="3"/>
        <v>45881</v>
      </c>
      <c r="U393">
        <f t="shared" si="3"/>
        <v>46152</v>
      </c>
      <c r="V393">
        <f t="shared" si="3"/>
        <v>4682</v>
      </c>
      <c r="W393">
        <f t="shared" si="3"/>
        <v>9149</v>
      </c>
      <c r="X393">
        <f t="shared" si="3"/>
        <v>7944</v>
      </c>
      <c r="Y393">
        <f t="shared" si="3"/>
        <v>705</v>
      </c>
      <c r="Z393" s="195">
        <f t="shared" si="3"/>
        <v>1402402992</v>
      </c>
      <c r="AA393" s="195">
        <f t="shared" si="3"/>
        <v>1417813000</v>
      </c>
      <c r="AD393" s="139" t="s">
        <v>704</v>
      </c>
    </row>
    <row r="394" spans="1:30" x14ac:dyDescent="0.2">
      <c r="C394" s="139" t="s">
        <v>705</v>
      </c>
      <c r="D394">
        <f t="shared" ref="D394:AA394" si="4">SUMIF($A$2:$A$389,"OV",D2:D389)</f>
        <v>965876188.00491738</v>
      </c>
      <c r="E394">
        <f t="shared" si="4"/>
        <v>84546100</v>
      </c>
      <c r="F394">
        <f t="shared" si="4"/>
        <v>748567201</v>
      </c>
      <c r="G394">
        <f t="shared" si="4"/>
        <v>59884538.319999985</v>
      </c>
      <c r="H394" s="195">
        <f t="shared" si="4"/>
        <v>357691254</v>
      </c>
      <c r="I394" s="195">
        <f t="shared" si="4"/>
        <v>216310407.61543241</v>
      </c>
      <c r="J394" s="195">
        <f t="shared" si="4"/>
        <v>47885</v>
      </c>
      <c r="K394">
        <f t="shared" si="4"/>
        <v>203132</v>
      </c>
      <c r="L394">
        <f t="shared" si="4"/>
        <v>4612</v>
      </c>
      <c r="M394">
        <f t="shared" si="4"/>
        <v>5767</v>
      </c>
      <c r="N394">
        <f t="shared" si="4"/>
        <v>1265</v>
      </c>
      <c r="O394">
        <f t="shared" si="4"/>
        <v>27</v>
      </c>
      <c r="P394">
        <f t="shared" si="4"/>
        <v>2719</v>
      </c>
      <c r="Q394">
        <f t="shared" si="4"/>
        <v>24414</v>
      </c>
      <c r="R394">
        <f t="shared" si="4"/>
        <v>1988</v>
      </c>
      <c r="S394">
        <f t="shared" si="4"/>
        <v>5</v>
      </c>
      <c r="T394">
        <f t="shared" si="4"/>
        <v>106330</v>
      </c>
      <c r="U394">
        <f t="shared" si="4"/>
        <v>111089</v>
      </c>
      <c r="V394">
        <f t="shared" si="4"/>
        <v>8524</v>
      </c>
      <c r="W394">
        <f t="shared" si="4"/>
        <v>25464</v>
      </c>
      <c r="X394">
        <f t="shared" si="4"/>
        <v>20103</v>
      </c>
      <c r="Y394">
        <f t="shared" si="4"/>
        <v>1754</v>
      </c>
      <c r="Z394" s="195">
        <f t="shared" si="4"/>
        <v>3412617000</v>
      </c>
      <c r="AA394" s="195">
        <f t="shared" si="4"/>
        <v>3418430000</v>
      </c>
      <c r="AD394" s="139" t="s">
        <v>705</v>
      </c>
    </row>
    <row r="395" spans="1:30" x14ac:dyDescent="0.2">
      <c r="C395" s="139" t="s">
        <v>706</v>
      </c>
      <c r="D395">
        <f t="shared" ref="D395:AA395" si="5">SUMIF($A$2:$A$389,"FL",D2:D389)</f>
        <v>367940027.24884868</v>
      </c>
      <c r="E395">
        <f t="shared" si="5"/>
        <v>20354969</v>
      </c>
      <c r="F395">
        <f t="shared" si="5"/>
        <v>232203278</v>
      </c>
      <c r="G395">
        <f t="shared" si="5"/>
        <v>26854077.899999999</v>
      </c>
      <c r="H395" s="195">
        <f t="shared" si="5"/>
        <v>139917084</v>
      </c>
      <c r="I395" s="195">
        <f t="shared" si="5"/>
        <v>43237646.067601532</v>
      </c>
      <c r="J395" s="195">
        <f t="shared" si="5"/>
        <v>12795</v>
      </c>
      <c r="K395">
        <f t="shared" si="5"/>
        <v>77054</v>
      </c>
      <c r="L395">
        <f t="shared" si="5"/>
        <v>2405</v>
      </c>
      <c r="M395">
        <f t="shared" si="5"/>
        <v>3413</v>
      </c>
      <c r="N395">
        <f t="shared" si="5"/>
        <v>1837</v>
      </c>
      <c r="O395">
        <f t="shared" si="5"/>
        <v>0</v>
      </c>
      <c r="P395">
        <f t="shared" si="5"/>
        <v>519</v>
      </c>
      <c r="Q395">
        <f t="shared" si="5"/>
        <v>6593</v>
      </c>
      <c r="R395">
        <f t="shared" si="5"/>
        <v>3986</v>
      </c>
      <c r="S395">
        <f t="shared" si="5"/>
        <v>0</v>
      </c>
      <c r="T395">
        <f t="shared" si="5"/>
        <v>24279</v>
      </c>
      <c r="U395">
        <f t="shared" si="5"/>
        <v>45128</v>
      </c>
      <c r="V395">
        <f t="shared" si="5"/>
        <v>1691</v>
      </c>
      <c r="W395">
        <f t="shared" si="5"/>
        <v>8400</v>
      </c>
      <c r="X395">
        <f t="shared" si="5"/>
        <v>6542</v>
      </c>
      <c r="Y395">
        <f t="shared" si="5"/>
        <v>631</v>
      </c>
      <c r="Z395" s="195">
        <f t="shared" si="5"/>
        <v>1244729037</v>
      </c>
      <c r="AA395" s="195">
        <f t="shared" si="5"/>
        <v>1268859826</v>
      </c>
      <c r="AD395" s="139" t="s">
        <v>706</v>
      </c>
    </row>
    <row r="396" spans="1:30" x14ac:dyDescent="0.2">
      <c r="C396" s="139" t="s">
        <v>707</v>
      </c>
      <c r="D396">
        <f t="shared" ref="D396:AA396" si="6">SUMIF($A$2:$A$389,"GLD",D2:D389)</f>
        <v>1638989625.297981</v>
      </c>
      <c r="E396">
        <f t="shared" si="6"/>
        <v>147817068</v>
      </c>
      <c r="F396">
        <f t="shared" si="6"/>
        <v>1197123634</v>
      </c>
      <c r="G396">
        <f t="shared" si="6"/>
        <v>77768799.339999989</v>
      </c>
      <c r="H396" s="195">
        <f t="shared" si="6"/>
        <v>563247794</v>
      </c>
      <c r="I396" s="195">
        <f t="shared" si="6"/>
        <v>326139086.12926412</v>
      </c>
      <c r="J396" s="195">
        <f t="shared" si="6"/>
        <v>71834</v>
      </c>
      <c r="K396">
        <f t="shared" si="6"/>
        <v>395835</v>
      </c>
      <c r="L396">
        <f t="shared" si="6"/>
        <v>8178</v>
      </c>
      <c r="M396">
        <f t="shared" si="6"/>
        <v>12718</v>
      </c>
      <c r="N396">
        <f t="shared" si="6"/>
        <v>2692</v>
      </c>
      <c r="O396">
        <f t="shared" si="6"/>
        <v>121</v>
      </c>
      <c r="P396">
        <f t="shared" si="6"/>
        <v>4135</v>
      </c>
      <c r="Q396">
        <f t="shared" si="6"/>
        <v>44189</v>
      </c>
      <c r="R396">
        <f t="shared" si="6"/>
        <v>31334</v>
      </c>
      <c r="S396">
        <f t="shared" si="6"/>
        <v>85</v>
      </c>
      <c r="T396">
        <f t="shared" si="6"/>
        <v>189276</v>
      </c>
      <c r="U396">
        <f t="shared" si="6"/>
        <v>142031</v>
      </c>
      <c r="V396">
        <f t="shared" si="6"/>
        <v>15672</v>
      </c>
      <c r="W396">
        <f t="shared" si="6"/>
        <v>43634</v>
      </c>
      <c r="X396">
        <f t="shared" si="6"/>
        <v>34306</v>
      </c>
      <c r="Y396">
        <f t="shared" si="6"/>
        <v>2632</v>
      </c>
      <c r="Z396" s="195">
        <f t="shared" si="6"/>
        <v>5661774431</v>
      </c>
      <c r="AA396" s="195">
        <f t="shared" si="6"/>
        <v>5667592395</v>
      </c>
      <c r="AD396" s="139" t="s">
        <v>707</v>
      </c>
    </row>
    <row r="397" spans="1:30" x14ac:dyDescent="0.2">
      <c r="C397" s="139" t="s">
        <v>716</v>
      </c>
      <c r="D397">
        <f t="shared" ref="D397:AA397" si="7">SUMIF($A$2:$A$389,"UT",D2:D389)</f>
        <v>1088549614.8154609</v>
      </c>
      <c r="E397">
        <f t="shared" si="7"/>
        <v>72871012</v>
      </c>
      <c r="F397">
        <f t="shared" si="7"/>
        <v>574602291</v>
      </c>
      <c r="G397">
        <f t="shared" si="7"/>
        <v>60378141.960000008</v>
      </c>
      <c r="H397" s="195">
        <f t="shared" si="7"/>
        <v>317322011</v>
      </c>
      <c r="I397" s="195">
        <f t="shared" si="7"/>
        <v>113212581.24790074</v>
      </c>
      <c r="J397" s="195">
        <f t="shared" si="7"/>
        <v>53186</v>
      </c>
      <c r="K397">
        <f t="shared" si="7"/>
        <v>238329</v>
      </c>
      <c r="L397">
        <f t="shared" si="7"/>
        <v>4926</v>
      </c>
      <c r="M397">
        <f t="shared" si="7"/>
        <v>4493</v>
      </c>
      <c r="N397">
        <f t="shared" si="7"/>
        <v>1175</v>
      </c>
      <c r="O397">
        <f t="shared" si="7"/>
        <v>43</v>
      </c>
      <c r="P397">
        <f t="shared" si="7"/>
        <v>747</v>
      </c>
      <c r="Q397">
        <f t="shared" si="7"/>
        <v>42450</v>
      </c>
      <c r="R397">
        <f t="shared" si="7"/>
        <v>11740</v>
      </c>
      <c r="S397">
        <f t="shared" si="7"/>
        <v>186</v>
      </c>
      <c r="T397">
        <f t="shared" si="7"/>
        <v>116196</v>
      </c>
      <c r="U397">
        <f t="shared" si="7"/>
        <v>114249</v>
      </c>
      <c r="V397">
        <f t="shared" si="7"/>
        <v>13496</v>
      </c>
      <c r="W397">
        <f t="shared" si="7"/>
        <v>35523</v>
      </c>
      <c r="X397">
        <f t="shared" si="7"/>
        <v>23406</v>
      </c>
      <c r="Y397">
        <f t="shared" si="7"/>
        <v>2105</v>
      </c>
      <c r="Z397" s="195">
        <f t="shared" si="7"/>
        <v>3594206037</v>
      </c>
      <c r="AA397" s="195">
        <f t="shared" si="7"/>
        <v>3629987031</v>
      </c>
      <c r="AD397" s="139" t="s">
        <v>716</v>
      </c>
    </row>
    <row r="398" spans="1:30" x14ac:dyDescent="0.2">
      <c r="C398" s="139" t="s">
        <v>708</v>
      </c>
      <c r="D398">
        <f t="shared" ref="D398:AA398" si="8">SUMIF($A$2:$A$389,"NH",D2:D389)</f>
        <v>2871880006.9947343</v>
      </c>
      <c r="E398">
        <f t="shared" si="8"/>
        <v>177917910</v>
      </c>
      <c r="F398">
        <f t="shared" si="8"/>
        <v>1345140519</v>
      </c>
      <c r="G398">
        <f t="shared" si="8"/>
        <v>180432952.40000001</v>
      </c>
      <c r="H398" s="195">
        <f t="shared" si="8"/>
        <v>1031228493</v>
      </c>
      <c r="I398" s="195">
        <f t="shared" si="8"/>
        <v>322130635.19413811</v>
      </c>
      <c r="J398" s="195">
        <f t="shared" si="8"/>
        <v>120518</v>
      </c>
      <c r="K398">
        <f t="shared" si="8"/>
        <v>461302</v>
      </c>
      <c r="L398">
        <f t="shared" si="8"/>
        <v>6595</v>
      </c>
      <c r="M398">
        <f t="shared" si="8"/>
        <v>72168</v>
      </c>
      <c r="N398">
        <f t="shared" si="8"/>
        <v>2857</v>
      </c>
      <c r="O398">
        <f t="shared" si="8"/>
        <v>218</v>
      </c>
      <c r="P398">
        <f t="shared" si="8"/>
        <v>5565</v>
      </c>
      <c r="Q398">
        <f t="shared" si="8"/>
        <v>240108</v>
      </c>
      <c r="R398">
        <f t="shared" si="8"/>
        <v>34493</v>
      </c>
      <c r="S398">
        <f t="shared" si="8"/>
        <v>870</v>
      </c>
      <c r="T398">
        <f t="shared" si="8"/>
        <v>247534</v>
      </c>
      <c r="U398">
        <f t="shared" si="8"/>
        <v>316446</v>
      </c>
      <c r="V398">
        <f t="shared" si="8"/>
        <v>23779</v>
      </c>
      <c r="W398">
        <f t="shared" si="8"/>
        <v>75249</v>
      </c>
      <c r="X398">
        <f t="shared" si="8"/>
        <v>50704</v>
      </c>
      <c r="Y398">
        <f t="shared" si="8"/>
        <v>8239</v>
      </c>
      <c r="Z398" s="195">
        <f t="shared" si="8"/>
        <v>9794879086</v>
      </c>
      <c r="AA398" s="195">
        <f t="shared" si="8"/>
        <v>9289527229</v>
      </c>
      <c r="AD398" s="139" t="s">
        <v>708</v>
      </c>
    </row>
    <row r="399" spans="1:30" x14ac:dyDescent="0.2">
      <c r="C399" s="139" t="s">
        <v>709</v>
      </c>
      <c r="D399">
        <f t="shared" ref="D399:AA399" si="9">SUMIF($A$2:$A$389,"ZH",D2:D389)</f>
        <v>3658121976.7044539</v>
      </c>
      <c r="E399">
        <f t="shared" si="9"/>
        <v>246861944</v>
      </c>
      <c r="F399">
        <f t="shared" si="9"/>
        <v>1861742372</v>
      </c>
      <c r="G399">
        <f t="shared" si="9"/>
        <v>209076217.83000004</v>
      </c>
      <c r="H399" s="195">
        <f t="shared" si="9"/>
        <v>1476474664</v>
      </c>
      <c r="I399" s="195">
        <f t="shared" si="9"/>
        <v>471440448.13656062</v>
      </c>
      <c r="J399" s="195">
        <f t="shared" si="9"/>
        <v>182387</v>
      </c>
      <c r="K399">
        <f t="shared" si="9"/>
        <v>649654</v>
      </c>
      <c r="L399">
        <f t="shared" si="9"/>
        <v>13644</v>
      </c>
      <c r="M399">
        <f t="shared" si="9"/>
        <v>20271</v>
      </c>
      <c r="N399">
        <f t="shared" si="9"/>
        <v>2830</v>
      </c>
      <c r="O399">
        <f t="shared" si="9"/>
        <v>28</v>
      </c>
      <c r="P399">
        <f t="shared" si="9"/>
        <v>2678</v>
      </c>
      <c r="Q399">
        <f t="shared" si="9"/>
        <v>157851</v>
      </c>
      <c r="R399">
        <f t="shared" si="9"/>
        <v>93380</v>
      </c>
      <c r="S399">
        <f t="shared" si="9"/>
        <v>186</v>
      </c>
      <c r="T399">
        <f t="shared" si="9"/>
        <v>328669</v>
      </c>
      <c r="U399">
        <f t="shared" si="9"/>
        <v>419631</v>
      </c>
      <c r="V399">
        <f t="shared" si="9"/>
        <v>30935</v>
      </c>
      <c r="W399">
        <f t="shared" si="9"/>
        <v>70695</v>
      </c>
      <c r="X399">
        <f t="shared" si="9"/>
        <v>67039</v>
      </c>
      <c r="Y399">
        <f t="shared" si="9"/>
        <v>10099</v>
      </c>
      <c r="Z399" s="195">
        <f t="shared" si="9"/>
        <v>12833637629</v>
      </c>
      <c r="AA399" s="195">
        <f t="shared" si="9"/>
        <v>13317293153</v>
      </c>
      <c r="AD399" s="139" t="s">
        <v>709</v>
      </c>
    </row>
    <row r="400" spans="1:30" x14ac:dyDescent="0.2">
      <c r="C400" s="139" t="s">
        <v>710</v>
      </c>
      <c r="D400">
        <f t="shared" ref="D400:AA400" si="10">SUMIF($A$2:$A$389,"ZL",D2:D389)</f>
        <v>327634610.52535534</v>
      </c>
      <c r="E400">
        <f t="shared" si="10"/>
        <v>31441911</v>
      </c>
      <c r="F400">
        <f t="shared" si="10"/>
        <v>217257498</v>
      </c>
      <c r="G400">
        <f t="shared" si="10"/>
        <v>21496227.18</v>
      </c>
      <c r="H400" s="195">
        <f t="shared" si="10"/>
        <v>96130020</v>
      </c>
      <c r="I400" s="195">
        <f t="shared" si="10"/>
        <v>59667666.02469448</v>
      </c>
      <c r="J400" s="195">
        <f t="shared" si="10"/>
        <v>17249</v>
      </c>
      <c r="K400">
        <f t="shared" si="10"/>
        <v>68520</v>
      </c>
      <c r="L400">
        <f t="shared" si="10"/>
        <v>2026</v>
      </c>
      <c r="M400">
        <f t="shared" si="10"/>
        <v>15859</v>
      </c>
      <c r="N400">
        <f t="shared" si="10"/>
        <v>782</v>
      </c>
      <c r="O400">
        <f t="shared" si="10"/>
        <v>13</v>
      </c>
      <c r="P400">
        <f t="shared" si="10"/>
        <v>6529</v>
      </c>
      <c r="Q400">
        <f t="shared" si="10"/>
        <v>19116</v>
      </c>
      <c r="R400">
        <f t="shared" si="10"/>
        <v>4892</v>
      </c>
      <c r="S400">
        <f t="shared" si="10"/>
        <v>0</v>
      </c>
      <c r="T400">
        <f t="shared" si="10"/>
        <v>41291</v>
      </c>
      <c r="U400">
        <f t="shared" si="10"/>
        <v>50315</v>
      </c>
      <c r="V400">
        <f t="shared" si="10"/>
        <v>5097</v>
      </c>
      <c r="W400">
        <f t="shared" si="10"/>
        <v>9392</v>
      </c>
      <c r="X400">
        <f t="shared" si="10"/>
        <v>6895</v>
      </c>
      <c r="Y400">
        <f t="shared" si="10"/>
        <v>419</v>
      </c>
      <c r="Z400" s="195">
        <f t="shared" si="10"/>
        <v>962158325</v>
      </c>
      <c r="AA400" s="195">
        <f t="shared" si="10"/>
        <v>962970084</v>
      </c>
      <c r="AD400" s="139" t="s">
        <v>710</v>
      </c>
    </row>
    <row r="401" spans="1:30" x14ac:dyDescent="0.2">
      <c r="C401" s="139" t="s">
        <v>711</v>
      </c>
      <c r="D401">
        <f t="shared" ref="D401:AA401" si="11">SUMIF($A$2:$A$389,"NB",D2:D389)</f>
        <v>1955812367.6218512</v>
      </c>
      <c r="E401">
        <f t="shared" si="11"/>
        <v>180079723</v>
      </c>
      <c r="F401">
        <f t="shared" si="11"/>
        <v>1394378394</v>
      </c>
      <c r="G401">
        <f t="shared" si="11"/>
        <v>105037360.86999999</v>
      </c>
      <c r="H401" s="195">
        <f t="shared" si="11"/>
        <v>671683232</v>
      </c>
      <c r="I401" s="195">
        <f t="shared" si="11"/>
        <v>424942040.15839243</v>
      </c>
      <c r="J401" s="195">
        <f t="shared" si="11"/>
        <v>92049</v>
      </c>
      <c r="K401">
        <f t="shared" si="11"/>
        <v>412550</v>
      </c>
      <c r="L401">
        <f t="shared" si="11"/>
        <v>10149</v>
      </c>
      <c r="M401">
        <f t="shared" si="11"/>
        <v>15366</v>
      </c>
      <c r="N401">
        <f t="shared" si="11"/>
        <v>4219</v>
      </c>
      <c r="O401">
        <f t="shared" si="11"/>
        <v>119</v>
      </c>
      <c r="P401">
        <f t="shared" si="11"/>
        <v>727</v>
      </c>
      <c r="Q401">
        <f t="shared" si="11"/>
        <v>74778</v>
      </c>
      <c r="R401">
        <f t="shared" si="11"/>
        <v>4755</v>
      </c>
      <c r="S401">
        <f t="shared" si="11"/>
        <v>15</v>
      </c>
      <c r="T401">
        <f t="shared" si="11"/>
        <v>219327</v>
      </c>
      <c r="U401">
        <f t="shared" si="11"/>
        <v>233479</v>
      </c>
      <c r="V401">
        <f t="shared" si="11"/>
        <v>5431</v>
      </c>
      <c r="W401">
        <f t="shared" si="11"/>
        <v>58233</v>
      </c>
      <c r="X401">
        <f t="shared" si="11"/>
        <v>44671</v>
      </c>
      <c r="Y401">
        <f t="shared" si="11"/>
        <v>3085</v>
      </c>
      <c r="Z401" s="195">
        <f t="shared" si="11"/>
        <v>7056752000</v>
      </c>
      <c r="AA401" s="195">
        <f t="shared" si="11"/>
        <v>7202176000</v>
      </c>
      <c r="AD401" s="139" t="s">
        <v>711</v>
      </c>
    </row>
    <row r="402" spans="1:30" x14ac:dyDescent="0.2">
      <c r="C402" s="139" t="s">
        <v>712</v>
      </c>
      <c r="D402">
        <f t="shared" ref="D402:AA402" si="12">SUMIF($A$2:$A$389,"LB",D2:D389)</f>
        <v>962190292.5831455</v>
      </c>
      <c r="E402">
        <f t="shared" si="12"/>
        <v>104581809</v>
      </c>
      <c r="F402">
        <f t="shared" si="12"/>
        <v>780945261</v>
      </c>
      <c r="G402">
        <f t="shared" si="12"/>
        <v>56088626.689999983</v>
      </c>
      <c r="H402" s="195">
        <f t="shared" si="12"/>
        <v>400460892</v>
      </c>
      <c r="I402" s="195">
        <f t="shared" si="12"/>
        <v>281062162.27370036</v>
      </c>
      <c r="J402" s="195">
        <f t="shared" si="12"/>
        <v>50410</v>
      </c>
      <c r="K402">
        <f t="shared" si="12"/>
        <v>218181</v>
      </c>
      <c r="L402">
        <f t="shared" si="12"/>
        <v>6742</v>
      </c>
      <c r="M402">
        <f t="shared" si="12"/>
        <v>17842</v>
      </c>
      <c r="N402">
        <f t="shared" si="12"/>
        <v>1981</v>
      </c>
      <c r="O402">
        <f t="shared" si="12"/>
        <v>73</v>
      </c>
      <c r="P402">
        <f t="shared" si="12"/>
        <v>354</v>
      </c>
      <c r="Q402">
        <f t="shared" si="12"/>
        <v>35346</v>
      </c>
      <c r="R402">
        <f t="shared" si="12"/>
        <v>1955</v>
      </c>
      <c r="S402">
        <f t="shared" si="12"/>
        <v>0</v>
      </c>
      <c r="T402">
        <f t="shared" si="12"/>
        <v>123693</v>
      </c>
      <c r="U402">
        <f t="shared" si="12"/>
        <v>110746</v>
      </c>
      <c r="V402">
        <f t="shared" si="12"/>
        <v>3675</v>
      </c>
      <c r="W402">
        <f t="shared" si="12"/>
        <v>22360</v>
      </c>
      <c r="X402">
        <f t="shared" si="12"/>
        <v>21198</v>
      </c>
      <c r="Y402">
        <f t="shared" si="12"/>
        <v>1906</v>
      </c>
      <c r="Z402" s="195">
        <f t="shared" si="12"/>
        <v>3457787992</v>
      </c>
      <c r="AA402" s="195">
        <f t="shared" si="12"/>
        <v>3536522600</v>
      </c>
      <c r="AD402" s="139" t="s">
        <v>712</v>
      </c>
    </row>
    <row r="405" spans="1:30" x14ac:dyDescent="0.2">
      <c r="G405" s="196"/>
      <c r="H405" s="196"/>
      <c r="I405" s="196"/>
      <c r="J405" s="196"/>
      <c r="K405" s="196"/>
      <c r="L405" s="196"/>
      <c r="M405" s="196"/>
      <c r="N405" s="196"/>
      <c r="O405" s="196"/>
      <c r="P405" s="196"/>
    </row>
    <row r="406" spans="1:30" x14ac:dyDescent="0.2">
      <c r="A406" t="s">
        <v>685</v>
      </c>
      <c r="B406" t="s">
        <v>686</v>
      </c>
      <c r="C406" s="139" t="s">
        <v>713</v>
      </c>
      <c r="D406" t="s">
        <v>614</v>
      </c>
      <c r="E406" t="s">
        <v>714</v>
      </c>
      <c r="F406" t="s">
        <v>715</v>
      </c>
      <c r="G406" t="s">
        <v>687</v>
      </c>
      <c r="H406" t="s">
        <v>688</v>
      </c>
      <c r="J406" t="s">
        <v>724</v>
      </c>
      <c r="K406" t="s">
        <v>725</v>
      </c>
      <c r="L406" t="s">
        <v>726</v>
      </c>
      <c r="M406" t="s">
        <v>727</v>
      </c>
      <c r="N406" t="s">
        <v>728</v>
      </c>
      <c r="O406" t="s">
        <v>729</v>
      </c>
      <c r="P406" t="s">
        <v>730</v>
      </c>
      <c r="Q406" t="s">
        <v>731</v>
      </c>
      <c r="R406" t="s">
        <v>732</v>
      </c>
      <c r="S406" t="s">
        <v>733</v>
      </c>
      <c r="T406" t="s">
        <v>734</v>
      </c>
      <c r="U406" t="s">
        <v>735</v>
      </c>
      <c r="V406" t="s">
        <v>736</v>
      </c>
      <c r="W406" t="s">
        <v>737</v>
      </c>
      <c r="X406" t="s">
        <v>738</v>
      </c>
      <c r="Y406" t="s">
        <v>739</v>
      </c>
      <c r="Z406" s="195" t="s">
        <v>740</v>
      </c>
      <c r="AA406" s="195" t="s">
        <v>741</v>
      </c>
      <c r="AD406" s="139" t="s">
        <v>112</v>
      </c>
    </row>
    <row r="407" spans="1:30" x14ac:dyDescent="0.2">
      <c r="A407" t="s">
        <v>690</v>
      </c>
      <c r="B407" s="194"/>
      <c r="C407" s="139" t="s">
        <v>479</v>
      </c>
      <c r="D407" s="194">
        <v>17534261.379618231</v>
      </c>
      <c r="E407" s="194">
        <v>1617737</v>
      </c>
      <c r="F407" s="195">
        <v>13904298</v>
      </c>
      <c r="G407" s="195">
        <v>397221.54000000004</v>
      </c>
      <c r="H407" s="195">
        <v>3413723</v>
      </c>
      <c r="I407" s="195"/>
      <c r="J407" s="195">
        <v>600</v>
      </c>
      <c r="K407" s="195">
        <v>3927</v>
      </c>
      <c r="L407" s="195">
        <v>133</v>
      </c>
      <c r="M407" s="195">
        <v>0</v>
      </c>
      <c r="N407" s="195">
        <v>89</v>
      </c>
      <c r="O407" s="195">
        <v>0</v>
      </c>
      <c r="P407" s="195">
        <v>0</v>
      </c>
      <c r="Q407">
        <v>0</v>
      </c>
      <c r="R407">
        <v>238</v>
      </c>
      <c r="S407">
        <v>0</v>
      </c>
      <c r="T407">
        <v>2159</v>
      </c>
      <c r="U407">
        <v>2272</v>
      </c>
      <c r="V407">
        <v>0</v>
      </c>
      <c r="W407">
        <v>344</v>
      </c>
      <c r="X407">
        <v>435</v>
      </c>
      <c r="Y407">
        <v>27</v>
      </c>
      <c r="Z407" s="195">
        <v>60386000</v>
      </c>
      <c r="AA407" s="195">
        <v>57468000</v>
      </c>
      <c r="AD407" s="139" t="s">
        <v>479</v>
      </c>
    </row>
    <row r="408" spans="1:30" x14ac:dyDescent="0.2">
      <c r="A408" t="s">
        <v>690</v>
      </c>
      <c r="B408" s="194"/>
      <c r="C408" s="139" t="s">
        <v>481</v>
      </c>
      <c r="D408" s="194">
        <v>12038164.281562317</v>
      </c>
      <c r="E408" s="194">
        <v>1071274</v>
      </c>
      <c r="F408" s="195">
        <v>7533350</v>
      </c>
      <c r="G408" s="195">
        <v>144174.84</v>
      </c>
      <c r="H408" s="195">
        <v>1538283</v>
      </c>
      <c r="I408" s="195"/>
      <c r="J408" s="195">
        <v>506</v>
      </c>
      <c r="K408" s="195">
        <v>3463</v>
      </c>
      <c r="L408" s="195">
        <v>0</v>
      </c>
      <c r="M408" s="195">
        <v>237</v>
      </c>
      <c r="N408" s="195">
        <v>54</v>
      </c>
      <c r="O408" s="195">
        <v>0</v>
      </c>
      <c r="P408" s="195">
        <v>0</v>
      </c>
      <c r="Q408">
        <v>0</v>
      </c>
      <c r="R408">
        <v>0</v>
      </c>
      <c r="S408">
        <v>0</v>
      </c>
      <c r="T408">
        <v>1126</v>
      </c>
      <c r="U408">
        <v>1655</v>
      </c>
      <c r="V408">
        <v>0</v>
      </c>
      <c r="W408">
        <v>542</v>
      </c>
      <c r="X408">
        <v>320</v>
      </c>
      <c r="Y408">
        <v>10</v>
      </c>
      <c r="Z408" s="195">
        <v>33323000</v>
      </c>
      <c r="AA408" s="195">
        <v>34068000</v>
      </c>
      <c r="AD408" s="139" t="s">
        <v>481</v>
      </c>
    </row>
    <row r="409" spans="1:30" x14ac:dyDescent="0.2">
      <c r="A409" t="s">
        <v>690</v>
      </c>
      <c r="B409" s="194"/>
      <c r="C409" s="139" t="s">
        <v>488</v>
      </c>
      <c r="D409" s="194">
        <v>28195285.424408682</v>
      </c>
      <c r="E409" s="194">
        <v>2266076</v>
      </c>
      <c r="F409" s="195">
        <v>19745935</v>
      </c>
      <c r="G409" s="195">
        <v>322911.71999999997</v>
      </c>
      <c r="H409" s="195">
        <v>5762303</v>
      </c>
      <c r="I409" s="195"/>
      <c r="J409" s="195">
        <v>1843</v>
      </c>
      <c r="K409" s="195">
        <v>6683</v>
      </c>
      <c r="L409" s="195">
        <v>119</v>
      </c>
      <c r="M409" s="195">
        <v>318</v>
      </c>
      <c r="N409" s="195">
        <v>111</v>
      </c>
      <c r="O409" s="195">
        <v>22</v>
      </c>
      <c r="P409" s="195">
        <v>0</v>
      </c>
      <c r="Q409">
        <v>302</v>
      </c>
      <c r="R409">
        <v>32</v>
      </c>
      <c r="S409">
        <v>0</v>
      </c>
      <c r="T409">
        <v>4124</v>
      </c>
      <c r="U409">
        <v>4004</v>
      </c>
      <c r="V409">
        <v>105</v>
      </c>
      <c r="W409">
        <v>1250</v>
      </c>
      <c r="X409">
        <v>730</v>
      </c>
      <c r="Y409">
        <v>21</v>
      </c>
      <c r="Z409" s="195">
        <v>102053000</v>
      </c>
      <c r="AA409" s="195">
        <v>103018000</v>
      </c>
      <c r="AD409" s="139" t="s">
        <v>488</v>
      </c>
    </row>
    <row r="410" spans="1:30" x14ac:dyDescent="0.2">
      <c r="A410" t="s">
        <v>690</v>
      </c>
      <c r="C410" s="139" t="s">
        <v>876</v>
      </c>
      <c r="D410" s="194">
        <f>SUM(D407:D409)</f>
        <v>57767711.08558923</v>
      </c>
      <c r="E410" s="194">
        <f t="shared" ref="E410:AA410" si="13">SUM(E407:E409)</f>
        <v>4955087</v>
      </c>
      <c r="F410" s="195">
        <f t="shared" si="13"/>
        <v>41183583</v>
      </c>
      <c r="G410" s="195">
        <f t="shared" si="13"/>
        <v>864308.1</v>
      </c>
      <c r="H410" s="195">
        <f t="shared" si="13"/>
        <v>10714309</v>
      </c>
      <c r="I410" s="195"/>
      <c r="J410" s="195">
        <f t="shared" si="13"/>
        <v>2949</v>
      </c>
      <c r="K410" s="195">
        <f t="shared" si="13"/>
        <v>14073</v>
      </c>
      <c r="L410" s="195">
        <f t="shared" si="13"/>
        <v>252</v>
      </c>
      <c r="M410" s="195">
        <f t="shared" si="13"/>
        <v>555</v>
      </c>
      <c r="N410" s="195">
        <f t="shared" si="13"/>
        <v>254</v>
      </c>
      <c r="O410" s="195">
        <f t="shared" si="13"/>
        <v>22</v>
      </c>
      <c r="P410" s="195">
        <f t="shared" si="13"/>
        <v>0</v>
      </c>
      <c r="Q410" s="195">
        <f t="shared" si="13"/>
        <v>302</v>
      </c>
      <c r="R410" s="195">
        <f t="shared" si="13"/>
        <v>270</v>
      </c>
      <c r="S410" s="195">
        <f t="shared" si="13"/>
        <v>0</v>
      </c>
      <c r="T410" s="195">
        <f t="shared" si="13"/>
        <v>7409</v>
      </c>
      <c r="U410" s="195">
        <f t="shared" si="13"/>
        <v>7931</v>
      </c>
      <c r="V410" s="195">
        <f t="shared" si="13"/>
        <v>105</v>
      </c>
      <c r="W410" s="195">
        <f t="shared" si="13"/>
        <v>2136</v>
      </c>
      <c r="X410" s="195">
        <f t="shared" si="13"/>
        <v>1485</v>
      </c>
      <c r="Y410" s="195">
        <f t="shared" si="13"/>
        <v>58</v>
      </c>
      <c r="Z410" s="195">
        <f t="shared" si="13"/>
        <v>195762000</v>
      </c>
      <c r="AA410" s="195">
        <f t="shared" si="13"/>
        <v>194554000</v>
      </c>
      <c r="AD410" s="139" t="s">
        <v>876</v>
      </c>
    </row>
    <row r="411" spans="1:30" x14ac:dyDescent="0.2">
      <c r="A411" t="s">
        <v>690</v>
      </c>
      <c r="C411" s="139" t="s">
        <v>876</v>
      </c>
      <c r="D411">
        <v>57767711.08558923</v>
      </c>
      <c r="E411">
        <v>4955087</v>
      </c>
      <c r="F411">
        <v>41183583</v>
      </c>
      <c r="G411">
        <v>864308.1</v>
      </c>
      <c r="H411">
        <v>10714309</v>
      </c>
      <c r="J411">
        <v>2949</v>
      </c>
      <c r="K411">
        <v>14073</v>
      </c>
      <c r="L411">
        <v>252</v>
      </c>
      <c r="M411">
        <v>555</v>
      </c>
      <c r="N411">
        <v>254</v>
      </c>
      <c r="O411">
        <v>22</v>
      </c>
      <c r="P411">
        <v>0</v>
      </c>
      <c r="Q411">
        <v>302</v>
      </c>
      <c r="R411">
        <v>270</v>
      </c>
      <c r="S411">
        <v>0</v>
      </c>
      <c r="T411">
        <v>7409</v>
      </c>
      <c r="U411">
        <v>7931</v>
      </c>
      <c r="V411">
        <v>105</v>
      </c>
      <c r="W411">
        <v>2136</v>
      </c>
      <c r="X411">
        <v>1485</v>
      </c>
      <c r="Y411">
        <v>58</v>
      </c>
      <c r="Z411" s="195">
        <v>195762000</v>
      </c>
      <c r="AA411" s="195">
        <v>194554000</v>
      </c>
      <c r="AD411" s="139" t="s">
        <v>876</v>
      </c>
    </row>
  </sheetData>
  <sheetProtection algorithmName="SHA-512" hashValue="H4dqfMtRUWomQiE994M0Df+DotA7Ienecgq2wJeodNDHcRrhWGh3mtKs+crf4/QPLUEaBMvCOVaGI2FI3gxmvQ==" saltValue="EjYlMCcQvQlG2jDgz268Rg==" spinCount="100000" sheet="1" objects="1" scenarios="1" selectLockedCells="1" selectUnlockedCells="1"/>
  <pageMargins left="0.7" right="0.7" top="0.75" bottom="0.75" header="0.3" footer="0.3"/>
  <pageSetup paperSize="9" orientation="portrait" horizontalDpi="4294967294"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Macrogegevens</vt:lpstr>
      <vt:lpstr>Balansprognose</vt:lpstr>
      <vt:lpstr>Investeringen &amp; financiering</vt:lpstr>
      <vt:lpstr>Inkomsten &amp; uitgaven</vt:lpstr>
      <vt:lpstr>Data macrogegevens</vt:lpstr>
      <vt:lpstr>Data OZB belastingen</vt:lpstr>
      <vt:lpstr>Data investeringen</vt:lpstr>
      <vt:lpstr>Data inkomsten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Houdbaarheidstest gemeentefinancien 2013</dc:title>
  <dc:creator>Jan van der Lei</dc:creator>
  <cp:keywords>Jan van der Lei</cp:keywords>
  <cp:lastModifiedBy>Jolanda van Ham-Becks</cp:lastModifiedBy>
  <dcterms:created xsi:type="dcterms:W3CDTF">2013-03-05T13:22:00Z</dcterms:created>
  <dcterms:modified xsi:type="dcterms:W3CDTF">2017-03-13T10:56:50Z</dcterms:modified>
</cp:coreProperties>
</file>