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ngd01fs01\home$\hazen_l\begeleiding decentralisatie\decentralisatie begeleiding en pv\juridische werkgroep wmo en jeugd 2015\evaluatie AMvB reele kostprijs\"/>
    </mc:Choice>
  </mc:AlternateContent>
  <bookViews>
    <workbookView xWindow="0" yWindow="0" windowWidth="24000" windowHeight="8355" tabRatio="500"/>
  </bookViews>
  <sheets>
    <sheet name="Invulblad HV schaal" sheetId="6" r:id="rId1"/>
    <sheet name="Invulblad CAO" sheetId="1" state="hidden" r:id="rId2"/>
    <sheet name="Pensioenpremie per loonschaal" sheetId="7" r:id="rId3"/>
    <sheet name="Pensioenpremie CAO" sheetId="2" state="hidden" r:id="rId4"/>
    <sheet name="Bruto-netto berekening" sheetId="8" r:id="rId5"/>
    <sheet name="VVT VGN HVschaal UURLONEN 17" sheetId="5" r:id="rId6"/>
  </sheets>
  <definedNames>
    <definedName name="FWGschaal">'VVT VGN HVschaal UURLONEN 17'!$A$168:$A$172</definedName>
    <definedName name="VGN">'VVT VGN HVschaal UURLONEN 17'!$D$6:$D$10</definedName>
    <definedName name="VGNFWG10">'VVT VGN HVschaal UURLONEN 17'!$D$79:$D$89</definedName>
    <definedName name="VGNFWG15">'VVT VGN HVschaal UURLONEN 17'!$D$93:$D$104</definedName>
    <definedName name="VGNFWG20">'VVT VGN HVschaal UURLONEN 17'!$D$108:$D$119</definedName>
    <definedName name="VGNFWG25">'VVT VGN HVschaal UURLONEN 17'!$D$123:$D$134</definedName>
    <definedName name="VGNFWG30">'VVT VGN HVschaal UURLONEN 17'!$D$138:$D$149</definedName>
    <definedName name="VVT">'VVT VGN HVschaal UURLONEN 17'!$C$6:$C$10</definedName>
    <definedName name="VVTFWG10">'VVT VGN HVschaal UURLONEN 17'!$D$13:$D$17</definedName>
    <definedName name="VVTFWG15">'VVT VGN HVschaal UURLONEN 17'!$D$21:$D$31</definedName>
    <definedName name="VVTFWG20">'VVT VGN HVschaal UURLONEN 17'!$D$35:$D$45</definedName>
    <definedName name="VVTFWG25">'VVT VGN HVschaal UURLONEN 17'!$D$48:$D$59</definedName>
    <definedName name="VVTFWG30">'VVT VGN HVschaal UURLONEN 17'!$D$62:$D$74</definedName>
  </definedNames>
  <calcPr calcId="171026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8" l="1"/>
  <c r="E35" i="6" s="1"/>
  <c r="H5" i="7"/>
  <c r="G5" i="7"/>
  <c r="F5" i="7"/>
  <c r="E5" i="7"/>
  <c r="D5" i="7"/>
  <c r="C5" i="7"/>
  <c r="H4" i="7"/>
  <c r="G4" i="7"/>
  <c r="F4" i="7"/>
  <c r="E4" i="7"/>
  <c r="D4" i="7"/>
  <c r="C4" i="7"/>
  <c r="L55" i="6"/>
  <c r="K55" i="6"/>
  <c r="J55" i="6"/>
  <c r="I55" i="6"/>
  <c r="H55" i="6"/>
  <c r="G55" i="6"/>
  <c r="B8" i="8"/>
  <c r="C5" i="8" s="1"/>
  <c r="E29" i="6" s="1"/>
  <c r="E25" i="6"/>
  <c r="E13" i="6"/>
  <c r="C3" i="7"/>
  <c r="A13" i="5"/>
  <c r="A14" i="5"/>
  <c r="H10" i="6"/>
  <c r="H11" i="6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8" i="5"/>
  <c r="A49" i="5"/>
  <c r="A50" i="5"/>
  <c r="A51" i="5"/>
  <c r="A52" i="5"/>
  <c r="A53" i="5"/>
  <c r="A54" i="5"/>
  <c r="A55" i="5"/>
  <c r="A56" i="5"/>
  <c r="A57" i="5"/>
  <c r="A58" i="5"/>
  <c r="A59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7" i="5"/>
  <c r="A78" i="5"/>
  <c r="A79" i="5"/>
  <c r="A80" i="5"/>
  <c r="A81" i="5"/>
  <c r="H81" i="5"/>
  <c r="I81" i="5"/>
  <c r="F81" i="5"/>
  <c r="A82" i="5"/>
  <c r="H82" i="5"/>
  <c r="I82" i="5"/>
  <c r="F82" i="5"/>
  <c r="A83" i="5"/>
  <c r="H83" i="5"/>
  <c r="I83" i="5"/>
  <c r="F83" i="5"/>
  <c r="A84" i="5"/>
  <c r="H84" i="5"/>
  <c r="I84" i="5"/>
  <c r="F84" i="5"/>
  <c r="A85" i="5"/>
  <c r="H85" i="5"/>
  <c r="I85" i="5"/>
  <c r="F85" i="5"/>
  <c r="A86" i="5"/>
  <c r="H86" i="5"/>
  <c r="I86" i="5"/>
  <c r="F86" i="5"/>
  <c r="A87" i="5"/>
  <c r="H87" i="5"/>
  <c r="I87" i="5"/>
  <c r="F87" i="5"/>
  <c r="A88" i="5"/>
  <c r="H88" i="5"/>
  <c r="I88" i="5"/>
  <c r="F88" i="5"/>
  <c r="A89" i="5"/>
  <c r="H89" i="5"/>
  <c r="I89" i="5"/>
  <c r="F89" i="5"/>
  <c r="A90" i="5"/>
  <c r="A91" i="5"/>
  <c r="A92" i="5"/>
  <c r="A93" i="5"/>
  <c r="A94" i="5"/>
  <c r="H94" i="5"/>
  <c r="I94" i="5"/>
  <c r="F94" i="5"/>
  <c r="A95" i="5"/>
  <c r="H95" i="5"/>
  <c r="I95" i="5"/>
  <c r="F95" i="5"/>
  <c r="A96" i="5"/>
  <c r="H96" i="5"/>
  <c r="I96" i="5"/>
  <c r="F96" i="5"/>
  <c r="A97" i="5"/>
  <c r="H97" i="5"/>
  <c r="I97" i="5"/>
  <c r="F97" i="5"/>
  <c r="A98" i="5"/>
  <c r="H98" i="5"/>
  <c r="I98" i="5"/>
  <c r="F98" i="5"/>
  <c r="A99" i="5"/>
  <c r="H99" i="5"/>
  <c r="I99" i="5"/>
  <c r="F99" i="5"/>
  <c r="A100" i="5"/>
  <c r="H100" i="5"/>
  <c r="I100" i="5"/>
  <c r="F100" i="5"/>
  <c r="A101" i="5"/>
  <c r="H101" i="5"/>
  <c r="I101" i="5"/>
  <c r="F101" i="5"/>
  <c r="A102" i="5"/>
  <c r="H102" i="5"/>
  <c r="I102" i="5"/>
  <c r="F102" i="5"/>
  <c r="A103" i="5"/>
  <c r="H103" i="5"/>
  <c r="I103" i="5"/>
  <c r="F103" i="5"/>
  <c r="A104" i="5"/>
  <c r="H104" i="5"/>
  <c r="I104" i="5"/>
  <c r="F104" i="5"/>
  <c r="A105" i="5"/>
  <c r="A106" i="5"/>
  <c r="A107" i="5"/>
  <c r="A108" i="5"/>
  <c r="H108" i="5"/>
  <c r="I108" i="5"/>
  <c r="F108" i="5"/>
  <c r="A109" i="5"/>
  <c r="H109" i="5"/>
  <c r="I109" i="5"/>
  <c r="F109" i="5"/>
  <c r="A110" i="5"/>
  <c r="H110" i="5"/>
  <c r="I110" i="5"/>
  <c r="F110" i="5"/>
  <c r="A111" i="5"/>
  <c r="H111" i="5"/>
  <c r="I111" i="5"/>
  <c r="F111" i="5"/>
  <c r="A112" i="5"/>
  <c r="H112" i="5"/>
  <c r="I112" i="5"/>
  <c r="F112" i="5"/>
  <c r="A113" i="5"/>
  <c r="H113" i="5"/>
  <c r="I113" i="5"/>
  <c r="F113" i="5"/>
  <c r="A114" i="5"/>
  <c r="H114" i="5"/>
  <c r="I114" i="5"/>
  <c r="F114" i="5"/>
  <c r="A115" i="5"/>
  <c r="H115" i="5"/>
  <c r="I115" i="5"/>
  <c r="F115" i="5"/>
  <c r="A116" i="5"/>
  <c r="H116" i="5"/>
  <c r="I116" i="5"/>
  <c r="F116" i="5"/>
  <c r="A117" i="5"/>
  <c r="H117" i="5"/>
  <c r="I117" i="5"/>
  <c r="F117" i="5"/>
  <c r="A118" i="5"/>
  <c r="H118" i="5"/>
  <c r="I118" i="5"/>
  <c r="F118" i="5"/>
  <c r="A119" i="5"/>
  <c r="H119" i="5"/>
  <c r="I119" i="5"/>
  <c r="F119" i="5"/>
  <c r="A120" i="5"/>
  <c r="A121" i="5"/>
  <c r="A122" i="5"/>
  <c r="A123" i="5"/>
  <c r="H123" i="5"/>
  <c r="I123" i="5"/>
  <c r="F123" i="5"/>
  <c r="A124" i="5"/>
  <c r="H124" i="5"/>
  <c r="I124" i="5"/>
  <c r="F124" i="5"/>
  <c r="A125" i="5"/>
  <c r="H125" i="5"/>
  <c r="I125" i="5"/>
  <c r="F125" i="5"/>
  <c r="A126" i="5"/>
  <c r="H126" i="5"/>
  <c r="I126" i="5"/>
  <c r="F126" i="5"/>
  <c r="A127" i="5"/>
  <c r="H127" i="5"/>
  <c r="I127" i="5"/>
  <c r="F127" i="5"/>
  <c r="A128" i="5"/>
  <c r="H128" i="5"/>
  <c r="I128" i="5"/>
  <c r="F128" i="5"/>
  <c r="A129" i="5"/>
  <c r="H129" i="5"/>
  <c r="I129" i="5"/>
  <c r="F129" i="5"/>
  <c r="A130" i="5"/>
  <c r="H130" i="5"/>
  <c r="I130" i="5"/>
  <c r="F130" i="5"/>
  <c r="A131" i="5"/>
  <c r="H131" i="5"/>
  <c r="I131" i="5"/>
  <c r="F131" i="5"/>
  <c r="A132" i="5"/>
  <c r="H132" i="5"/>
  <c r="I132" i="5"/>
  <c r="F132" i="5"/>
  <c r="A133" i="5"/>
  <c r="H133" i="5"/>
  <c r="I133" i="5"/>
  <c r="F133" i="5"/>
  <c r="A134" i="5"/>
  <c r="H134" i="5"/>
  <c r="I134" i="5"/>
  <c r="F134" i="5"/>
  <c r="A135" i="5"/>
  <c r="A136" i="5"/>
  <c r="A137" i="5"/>
  <c r="A138" i="5"/>
  <c r="H138" i="5"/>
  <c r="I138" i="5"/>
  <c r="F138" i="5"/>
  <c r="A139" i="5"/>
  <c r="H139" i="5"/>
  <c r="I139" i="5"/>
  <c r="F139" i="5"/>
  <c r="A140" i="5"/>
  <c r="H140" i="5"/>
  <c r="I140" i="5"/>
  <c r="F140" i="5"/>
  <c r="A141" i="5"/>
  <c r="H141" i="5"/>
  <c r="I141" i="5"/>
  <c r="F141" i="5"/>
  <c r="A142" i="5"/>
  <c r="H142" i="5"/>
  <c r="I142" i="5"/>
  <c r="F142" i="5"/>
  <c r="A143" i="5"/>
  <c r="H143" i="5"/>
  <c r="I143" i="5"/>
  <c r="F143" i="5"/>
  <c r="A144" i="5"/>
  <c r="H144" i="5"/>
  <c r="I144" i="5"/>
  <c r="F144" i="5"/>
  <c r="A145" i="5"/>
  <c r="H145" i="5"/>
  <c r="I145" i="5"/>
  <c r="F145" i="5"/>
  <c r="A146" i="5"/>
  <c r="H146" i="5"/>
  <c r="I146" i="5"/>
  <c r="F146" i="5"/>
  <c r="A147" i="5"/>
  <c r="H147" i="5"/>
  <c r="I147" i="5"/>
  <c r="F147" i="5"/>
  <c r="A148" i="5"/>
  <c r="H148" i="5"/>
  <c r="I148" i="5"/>
  <c r="F148" i="5"/>
  <c r="A149" i="5"/>
  <c r="H149" i="5"/>
  <c r="I149" i="5"/>
  <c r="F149" i="5"/>
  <c r="H93" i="5"/>
  <c r="I93" i="5"/>
  <c r="H80" i="5"/>
  <c r="I80" i="5"/>
  <c r="H79" i="5"/>
  <c r="I79" i="5"/>
  <c r="G45" i="1"/>
  <c r="H45" i="1"/>
  <c r="J45" i="1"/>
  <c r="K45" i="1"/>
  <c r="E35" i="1"/>
  <c r="C4" i="2"/>
  <c r="D4" i="2"/>
  <c r="E4" i="2"/>
  <c r="B4" i="2"/>
  <c r="D3" i="2"/>
  <c r="E3" i="2"/>
  <c r="C3" i="2"/>
  <c r="B3" i="2"/>
  <c r="C5" i="2"/>
  <c r="D5" i="2"/>
  <c r="E5" i="2"/>
  <c r="B5" i="2"/>
  <c r="E14" i="1"/>
  <c r="E26" i="1"/>
  <c r="H11" i="1"/>
  <c r="H12" i="1"/>
  <c r="J10" i="6"/>
  <c r="L10" i="6"/>
  <c r="I10" i="6"/>
  <c r="J11" i="1"/>
  <c r="G11" i="1"/>
  <c r="K11" i="1"/>
  <c r="H12" i="6"/>
  <c r="K10" i="6"/>
  <c r="G10" i="6"/>
  <c r="D7" i="7"/>
  <c r="D8" i="7"/>
  <c r="H13" i="1"/>
  <c r="H14" i="1"/>
  <c r="I12" i="6"/>
  <c r="I11" i="6"/>
  <c r="L12" i="6"/>
  <c r="L11" i="6"/>
  <c r="J12" i="6"/>
  <c r="J11" i="6"/>
  <c r="G7" i="7"/>
  <c r="G8" i="7"/>
  <c r="K11" i="6"/>
  <c r="C7" i="7"/>
  <c r="C8" i="7"/>
  <c r="G11" i="6"/>
  <c r="F7" i="7"/>
  <c r="F8" i="7"/>
  <c r="E7" i="7"/>
  <c r="E8" i="7"/>
  <c r="H7" i="7"/>
  <c r="H8" i="7"/>
  <c r="H13" i="6"/>
  <c r="H24" i="6"/>
  <c r="H23" i="1"/>
  <c r="H20" i="1"/>
  <c r="H24" i="1"/>
  <c r="C7" i="2"/>
  <c r="C8" i="2"/>
  <c r="H21" i="1"/>
  <c r="H25" i="1"/>
  <c r="H22" i="1"/>
  <c r="G13" i="1"/>
  <c r="G12" i="1"/>
  <c r="G12" i="6"/>
  <c r="K13" i="1"/>
  <c r="K12" i="1"/>
  <c r="K12" i="6"/>
  <c r="J13" i="1"/>
  <c r="J12" i="1"/>
  <c r="I13" i="6"/>
  <c r="I24" i="6"/>
  <c r="L13" i="6"/>
  <c r="L22" i="6"/>
  <c r="K14" i="1"/>
  <c r="K24" i="1"/>
  <c r="J13" i="6"/>
  <c r="J22" i="6"/>
  <c r="E9" i="7"/>
  <c r="E10" i="7"/>
  <c r="E23" i="7"/>
  <c r="E24" i="7"/>
  <c r="E26" i="7"/>
  <c r="I16" i="6"/>
  <c r="J14" i="1"/>
  <c r="J24" i="1"/>
  <c r="G14" i="1"/>
  <c r="G20" i="1"/>
  <c r="J19" i="6"/>
  <c r="L24" i="6"/>
  <c r="I23" i="6"/>
  <c r="I21" i="6"/>
  <c r="I19" i="6"/>
  <c r="L19" i="6"/>
  <c r="H19" i="6"/>
  <c r="L20" i="6"/>
  <c r="H21" i="6"/>
  <c r="D9" i="7"/>
  <c r="D10" i="7"/>
  <c r="D23" i="7"/>
  <c r="D24" i="7"/>
  <c r="D26" i="7"/>
  <c r="H16" i="6"/>
  <c r="K13" i="6"/>
  <c r="K20" i="6"/>
  <c r="L21" i="6"/>
  <c r="H9" i="7"/>
  <c r="H10" i="7"/>
  <c r="H23" i="7"/>
  <c r="H24" i="7"/>
  <c r="H26" i="7"/>
  <c r="L16" i="6"/>
  <c r="H20" i="6"/>
  <c r="H22" i="6"/>
  <c r="L23" i="6"/>
  <c r="H23" i="6"/>
  <c r="H26" i="1"/>
  <c r="K23" i="1"/>
  <c r="K20" i="1"/>
  <c r="K21" i="1"/>
  <c r="E7" i="2"/>
  <c r="E8" i="2"/>
  <c r="K25" i="1"/>
  <c r="C13" i="2"/>
  <c r="C14" i="2"/>
  <c r="C16" i="2"/>
  <c r="C21" i="2"/>
  <c r="C22" i="2"/>
  <c r="C24" i="2"/>
  <c r="H17" i="1"/>
  <c r="E15" i="7"/>
  <c r="E16" i="7"/>
  <c r="E18" i="7"/>
  <c r="I15" i="6"/>
  <c r="I20" i="6"/>
  <c r="I22" i="6"/>
  <c r="J24" i="6"/>
  <c r="F9" i="7"/>
  <c r="F10" i="7"/>
  <c r="F15" i="7"/>
  <c r="F16" i="7"/>
  <c r="F18" i="7"/>
  <c r="J15" i="6"/>
  <c r="J20" i="6"/>
  <c r="J21" i="6"/>
  <c r="J23" i="6"/>
  <c r="K22" i="1"/>
  <c r="G21" i="1"/>
  <c r="G23" i="1"/>
  <c r="G24" i="1"/>
  <c r="G22" i="1"/>
  <c r="D7" i="2"/>
  <c r="D8" i="2"/>
  <c r="D21" i="2"/>
  <c r="D22" i="2"/>
  <c r="D24" i="2"/>
  <c r="J17" i="1"/>
  <c r="J25" i="1"/>
  <c r="J22" i="1"/>
  <c r="J20" i="1"/>
  <c r="J21" i="1"/>
  <c r="J23" i="1"/>
  <c r="K19" i="6"/>
  <c r="I25" i="6"/>
  <c r="B7" i="2"/>
  <c r="B8" i="2"/>
  <c r="B13" i="2"/>
  <c r="B14" i="2"/>
  <c r="B16" i="2"/>
  <c r="G25" i="1"/>
  <c r="K26" i="1"/>
  <c r="D15" i="7"/>
  <c r="D16" i="7"/>
  <c r="D18" i="7"/>
  <c r="H15" i="6"/>
  <c r="H17" i="6"/>
  <c r="H15" i="7"/>
  <c r="H16" i="7"/>
  <c r="H18" i="7"/>
  <c r="L15" i="6"/>
  <c r="L17" i="6"/>
  <c r="K21" i="6"/>
  <c r="K22" i="6"/>
  <c r="K24" i="6"/>
  <c r="H25" i="6"/>
  <c r="K23" i="6"/>
  <c r="L25" i="6"/>
  <c r="G9" i="7"/>
  <c r="G10" i="7"/>
  <c r="G15" i="7"/>
  <c r="G16" i="7"/>
  <c r="G18" i="7"/>
  <c r="K15" i="6"/>
  <c r="C26" i="2"/>
  <c r="H16" i="1"/>
  <c r="H18" i="1"/>
  <c r="H28" i="1"/>
  <c r="D13" i="2"/>
  <c r="D14" i="2"/>
  <c r="D16" i="2"/>
  <c r="E13" i="2"/>
  <c r="E14" i="2"/>
  <c r="E16" i="2"/>
  <c r="E21" i="2"/>
  <c r="E22" i="2"/>
  <c r="E24" i="2"/>
  <c r="K17" i="1"/>
  <c r="E28" i="7"/>
  <c r="I17" i="6"/>
  <c r="J25" i="6"/>
  <c r="F23" i="7"/>
  <c r="F24" i="7"/>
  <c r="F26" i="7"/>
  <c r="J16" i="6"/>
  <c r="J17" i="6"/>
  <c r="J27" i="6"/>
  <c r="G26" i="1"/>
  <c r="J26" i="1"/>
  <c r="I27" i="6"/>
  <c r="B21" i="2"/>
  <c r="B22" i="2"/>
  <c r="B24" i="2"/>
  <c r="G17" i="1"/>
  <c r="G23" i="7"/>
  <c r="G24" i="7"/>
  <c r="G26" i="7"/>
  <c r="K16" i="6"/>
  <c r="K17" i="6"/>
  <c r="H28" i="7"/>
  <c r="D28" i="7"/>
  <c r="H27" i="6"/>
  <c r="K25" i="6"/>
  <c r="L27" i="6"/>
  <c r="D26" i="2"/>
  <c r="J16" i="1"/>
  <c r="J18" i="1"/>
  <c r="E26" i="2"/>
  <c r="K16" i="1"/>
  <c r="K18" i="1"/>
  <c r="K28" i="1"/>
  <c r="H32" i="1"/>
  <c r="H39" i="1"/>
  <c r="H41" i="1"/>
  <c r="H33" i="1"/>
  <c r="H40" i="1"/>
  <c r="H34" i="1"/>
  <c r="G16" i="1"/>
  <c r="J44" i="6"/>
  <c r="F28" i="7"/>
  <c r="G18" i="1"/>
  <c r="G28" i="1"/>
  <c r="G33" i="1"/>
  <c r="I44" i="6"/>
  <c r="J28" i="1"/>
  <c r="J33" i="1"/>
  <c r="K27" i="6"/>
  <c r="G28" i="7"/>
  <c r="B26" i="2"/>
  <c r="L44" i="6"/>
  <c r="H44" i="6"/>
  <c r="K32" i="1"/>
  <c r="K39" i="1"/>
  <c r="K33" i="1"/>
  <c r="K40" i="1"/>
  <c r="K34" i="1"/>
  <c r="K41" i="1"/>
  <c r="G39" i="1"/>
  <c r="G34" i="1"/>
  <c r="H35" i="1"/>
  <c r="G41" i="1"/>
  <c r="G32" i="1"/>
  <c r="J39" i="1"/>
  <c r="G40" i="1"/>
  <c r="J41" i="1"/>
  <c r="J34" i="1"/>
  <c r="J32" i="1"/>
  <c r="J35" i="1"/>
  <c r="J40" i="1"/>
  <c r="K44" i="6"/>
  <c r="G35" i="1"/>
  <c r="K35" i="1"/>
  <c r="H47" i="1"/>
  <c r="H48" i="1"/>
  <c r="J47" i="1"/>
  <c r="J48" i="1"/>
  <c r="J50" i="1"/>
  <c r="H50" i="1"/>
  <c r="H51" i="1"/>
  <c r="H53" i="1"/>
  <c r="K47" i="1"/>
  <c r="K48" i="1"/>
  <c r="G47" i="1"/>
  <c r="G48" i="1"/>
  <c r="G13" i="6"/>
  <c r="J51" i="1"/>
  <c r="J53" i="1"/>
  <c r="K51" i="1"/>
  <c r="K53" i="1"/>
  <c r="K50" i="1"/>
  <c r="G51" i="1"/>
  <c r="G53" i="1"/>
  <c r="G55" i="1"/>
  <c r="G50" i="1"/>
  <c r="G23" i="6"/>
  <c r="G19" i="6"/>
  <c r="G21" i="6"/>
  <c r="C9" i="7"/>
  <c r="C10" i="7"/>
  <c r="G24" i="6"/>
  <c r="G20" i="6"/>
  <c r="G22" i="6"/>
  <c r="J55" i="1"/>
  <c r="G25" i="6"/>
  <c r="C15" i="7"/>
  <c r="C16" i="7"/>
  <c r="C18" i="7"/>
  <c r="G15" i="6"/>
  <c r="C23" i="7"/>
  <c r="C24" i="7"/>
  <c r="C26" i="7"/>
  <c r="G16" i="6"/>
  <c r="C28" i="7"/>
  <c r="G17" i="6"/>
  <c r="G27" i="6"/>
  <c r="G44" i="6"/>
  <c r="J29" i="6" l="1"/>
  <c r="L29" i="6"/>
  <c r="I29" i="6"/>
  <c r="H29" i="6"/>
  <c r="K29" i="6"/>
  <c r="G29" i="6"/>
  <c r="H35" i="6"/>
  <c r="H38" i="6" s="1"/>
  <c r="L35" i="6"/>
  <c r="L38" i="6" s="1"/>
  <c r="G35" i="6"/>
  <c r="G38" i="6" s="1"/>
  <c r="K35" i="6"/>
  <c r="K38" i="6" s="1"/>
  <c r="J35" i="6"/>
  <c r="J38" i="6" s="1"/>
  <c r="I35" i="6"/>
  <c r="I38" i="6" s="1"/>
  <c r="C6" i="8"/>
  <c r="E30" i="6" s="1"/>
  <c r="I30" i="6" l="1"/>
  <c r="I31" i="6" s="1"/>
  <c r="I40" i="6" s="1"/>
  <c r="J30" i="6"/>
  <c r="J31" i="6" s="1"/>
  <c r="J40" i="6" s="1"/>
  <c r="L30" i="6"/>
  <c r="L31" i="6" s="1"/>
  <c r="L40" i="6" s="1"/>
  <c r="H30" i="6"/>
  <c r="H31" i="6" s="1"/>
  <c r="H40" i="6" s="1"/>
  <c r="G30" i="6"/>
  <c r="G31" i="6" s="1"/>
  <c r="G40" i="6" s="1"/>
  <c r="K30" i="6"/>
  <c r="K31" i="6" s="1"/>
  <c r="K40" i="6" s="1"/>
  <c r="E31" i="6"/>
  <c r="J46" i="6" l="1"/>
  <c r="J45" i="6"/>
  <c r="H46" i="6"/>
  <c r="H45" i="6"/>
  <c r="L46" i="6"/>
  <c r="L45" i="6"/>
  <c r="K46" i="6"/>
  <c r="K45" i="6"/>
  <c r="K51" i="6" s="1"/>
  <c r="I45" i="6"/>
  <c r="I46" i="6"/>
  <c r="G46" i="6"/>
  <c r="G45" i="6"/>
  <c r="G51" i="6" s="1"/>
  <c r="I51" i="6" l="1"/>
  <c r="H51" i="6"/>
  <c r="L51" i="6"/>
  <c r="J51" i="6"/>
  <c r="K53" i="6" s="1"/>
</calcChain>
</file>

<file path=xl/sharedStrings.xml><?xml version="1.0" encoding="utf-8"?>
<sst xmlns="http://schemas.openxmlformats.org/spreadsheetml/2006/main" count="556" uniqueCount="167">
  <si>
    <t>De groene vensters dienen gevuld te worden met de gegevens van de organisatie.</t>
  </si>
  <si>
    <t>FWG10</t>
  </si>
  <si>
    <t>FWG15</t>
  </si>
  <si>
    <t>HH</t>
  </si>
  <si>
    <t>Aanloopperiodiek 0</t>
  </si>
  <si>
    <t>Ondersteuningsvorm: benaming van gemeente</t>
  </si>
  <si>
    <t>Hulp bij Huishouden</t>
  </si>
  <si>
    <t>Toelichting</t>
  </si>
  <si>
    <t>Aanloopperiodiek 1</t>
  </si>
  <si>
    <t>Hulp bij huishouden</t>
  </si>
  <si>
    <t>[Datum CAO]</t>
  </si>
  <si>
    <t>Loonschaal</t>
  </si>
  <si>
    <t>Vul hier de loonscha(a)l(en) in waarmee u wilt rekenen. Indien er sprake is van een inzet van medewerkers in verschillende loonschalen, dan kunt u in elke kolom een andere loonschaal invullen.</t>
  </si>
  <si>
    <t>Periodiek</t>
  </si>
  <si>
    <t>Vul hier de periodiek(en) in waarmee u wilt rekenen. Indien er sprake is van een inzet van medewerkers in verschillende loonperiodieken, dan kunt u in elke kolom een andere periodiek invullen.</t>
  </si>
  <si>
    <t>Inzetmix per periodiek</t>
  </si>
  <si>
    <t>Bij inzet van meerdere loonschalen en -periodieken, kunt u hier per kolom het aandeel van de betreffende loonschaal en -periodiek in de totale inzet invullen. Het totaal van de zes kolommen moet gelijk zijn aan 100.  Als u geen percentage invult, wordt de kolom niet meegeteld in de berekening van het gewogen tarief.
De veel voorkomende veldsituatie voor 2018 is volgens de brancheorganisatie BTN 75% op de maximum periodiek van FWG10 en 25% op de maximum periodiek van FWG15. Deze verdeling wijzigt in de jaren na 2018.</t>
  </si>
  <si>
    <t>Vast component of cao afgeleid</t>
  </si>
  <si>
    <t>%</t>
  </si>
  <si>
    <t>LOONKOSTEN PER UUR</t>
  </si>
  <si>
    <t>Bruto uurloon cao</t>
  </si>
  <si>
    <t>Bruto uurloon wordt automatisch ingevuld na selecteren van loonschaal en periodiek. 
Cao VVT is uitgangspunt.</t>
  </si>
  <si>
    <t>Vakantietoeslag (minimum cao bepaald, zie toelichting)</t>
  </si>
  <si>
    <t>Ja</t>
  </si>
  <si>
    <t>Minimum vakantiebijslag is € 1841,95 per 1 mei 2017 (met 1.878 uur in een jaar is dat €0,98 per uur).
De minimum vakantiebijslag wordt jaarlijks verhoogd met eventuele algemene loonaanpassingen die in het kader van de cao plaatsvinden. Ook bij inwerkingtreding van de nieuwe cao VVT per 1 april 2018 wordt (loon)indexering toegepast en zal de minimum vakantiebijslag dus ook worden verhoogd. In het tabblad 'VVT VBN HVschaal UURLONEN 17' kan het bedrag worden aangepast.</t>
  </si>
  <si>
    <t>Eindejaarsuitkering (minimum cao bepaald, zie toelichting)</t>
  </si>
  <si>
    <r>
      <t xml:space="preserve">De </t>
    </r>
    <r>
      <rPr>
        <b/>
        <sz val="11"/>
        <color theme="1"/>
        <rFont val="Calibri"/>
        <family val="2"/>
        <scheme val="minor"/>
      </rPr>
      <t>opbouw</t>
    </r>
    <r>
      <rPr>
        <sz val="11"/>
        <color theme="1"/>
        <rFont val="Calibri"/>
        <family val="2"/>
        <scheme val="minor"/>
      </rPr>
      <t xml:space="preserve"> van de eindejaarsuitkering is gebaseerd op:
- per 1 januari 2017: 7,0 % van het verdiende bruto salaris in de periode januari tot en met november 2017;
- per 1 december 2017: 7,4 % van het verdiende bruto salaris in de periode december 2017 tot en met november 2018;
- per 1 december 2018: 7,4 % van het verdiende bruto salaris in de periode december 2018 tot en met november 2019;
- per 1 december 2019: 8,33 % van het verdiende bruto salaris in de periode december 2019 tot en met november 2020;
</t>
    </r>
    <r>
      <rPr>
        <b/>
        <sz val="11"/>
        <color theme="1"/>
        <rFont val="Calibri"/>
        <family val="2"/>
        <scheme val="minor"/>
      </rPr>
      <t>Minimum</t>
    </r>
    <r>
      <rPr>
        <sz val="11"/>
        <color theme="1"/>
        <rFont val="Calibri"/>
        <family val="2"/>
        <scheme val="minor"/>
      </rPr>
      <t xml:space="preserve">: Als je 22 jaar of ouder bent wordt je eindejaarsuitkering tenminste berekend over het actuele bedrag van inpassingstabelnummer 12 dat van toepassing is (per 1 juli 2017: € 12,66)
</t>
    </r>
    <r>
      <rPr>
        <b/>
        <sz val="11"/>
        <color theme="1"/>
        <rFont val="Calibri"/>
        <family val="2"/>
        <scheme val="minor"/>
      </rPr>
      <t>Eenmalige uitkeringen:</t>
    </r>
    <r>
      <rPr>
        <sz val="11"/>
        <color theme="1"/>
        <rFont val="Calibri"/>
        <family val="2"/>
        <scheme val="minor"/>
      </rPr>
      <t xml:space="preserve">
- december 2016: 1,2% van 12 maal salaris over maand december 2016
- februari 2017: 1,2% van 12 maal salaris over maand februari 2017
(Bron: cao VVT 2016-2018)</t>
    </r>
  </si>
  <si>
    <t>Totaal bruto uurloon</t>
  </si>
  <si>
    <t>OP werkgeversdeel (zie werkblad "Pensioenpremie)</t>
  </si>
  <si>
    <t>Zie tabblad 'Pensioenpremie per loonschaal'</t>
  </si>
  <si>
    <t>AP werkgeversdeel (zie werkblad "Pensioenpremie)</t>
  </si>
  <si>
    <t>Totaal pensioenpremies</t>
  </si>
  <si>
    <t>WGA / WIA (+ WKO)</t>
  </si>
  <si>
    <t>Premie 2018</t>
  </si>
  <si>
    <t>WW</t>
  </si>
  <si>
    <t>Sectorfonds</t>
  </si>
  <si>
    <t>ZVW</t>
  </si>
  <si>
    <t>WHK</t>
  </si>
  <si>
    <t>Nee</t>
  </si>
  <si>
    <r>
      <t xml:space="preserve">Percentage is afhankelijk van de omvang van de werkgever en type werkgever.
Bij het vaststellen van de individuele premiepercentages gelden per premiecomponent de volgende grenzen in 2018:
</t>
    </r>
    <r>
      <rPr>
        <u/>
        <sz val="11"/>
        <color theme="1"/>
        <rFont val="Calibri"/>
        <family val="2"/>
        <scheme val="minor"/>
      </rPr>
      <t xml:space="preserve">Voor de premiecomponent WGA: </t>
    </r>
    <r>
      <rPr>
        <sz val="11"/>
        <color theme="1"/>
        <rFont val="Calibri"/>
        <family val="2"/>
        <scheme val="minor"/>
      </rPr>
      <t xml:space="preserve">
minimumpercentage 0,18% 
maximumpercentage 3,00%
gemiddelde percentage (over alle sectoren) 0,75%
</t>
    </r>
    <r>
      <rPr>
        <u/>
        <sz val="11"/>
        <color theme="1"/>
        <rFont val="Calibri"/>
        <family val="2"/>
        <scheme val="minor"/>
      </rPr>
      <t xml:space="preserve">Voor de premiecomponent Ziektewet-flex: </t>
    </r>
    <r>
      <rPr>
        <sz val="11"/>
        <color theme="1"/>
        <rFont val="Calibri"/>
        <family val="2"/>
        <scheme val="minor"/>
      </rPr>
      <t xml:space="preserve">
minimumpercentage 0,1% 
maximumpercentage 1,64%
gemiddelde percentage (over alle sectoren) 0,41%
(https://www.belastingdienst.nl/bibliotheek/handboeken/html/boeken/HL/stappenplan-stap_5_premies_werknemersverzekeringen.html#HL-05.6 en 
https://www.uwv.nl/overuwv/Images/gedifferentieerde-premies-wga-en-ziektewet-2018.pdf)</t>
    </r>
  </si>
  <si>
    <t>WGA eigen risico; herverzekerd</t>
  </si>
  <si>
    <t xml:space="preserve">Eigen risicodrager: keuze onderneming </t>
  </si>
  <si>
    <t>Totaal Sociale lasten</t>
  </si>
  <si>
    <t>Totaal te verlonen kosten per uur</t>
  </si>
  <si>
    <t>Verlof</t>
  </si>
  <si>
    <t xml:space="preserve">Zie voor rekenpercentage tabblad "Bruto-netto berekening" </t>
  </si>
  <si>
    <t>Scholing</t>
  </si>
  <si>
    <t>Aan te passen op tabblad "Bruto-netto berekening"</t>
  </si>
  <si>
    <t>Totaal verlof &amp; scholing</t>
  </si>
  <si>
    <t>ZIEKTEVERZUIM &amp; REISKOSTEN</t>
  </si>
  <si>
    <t>Ziekteverzuim</t>
  </si>
  <si>
    <t xml:space="preserve">Invullen op tabblad "Bruto-netto berekening" </t>
  </si>
  <si>
    <t>Reiskosten woon-werkverkeer volgens CAO</t>
  </si>
  <si>
    <t>Reiskosten dagvergoeding toe te berekenen per uur</t>
  </si>
  <si>
    <t>Reiskosten client naar client, toe te berekenen per uur</t>
  </si>
  <si>
    <t>Totaal ziekteverzuim &amp; reiskosten</t>
  </si>
  <si>
    <t>Totale kostprijs per uur</t>
  </si>
  <si>
    <t>OVERIGE KOSTEN</t>
  </si>
  <si>
    <t>Niet planbaar wel te verlonen tijd</t>
  </si>
  <si>
    <t>Individueel overleg, teamoverleg, organisatieoverleg, e.d.
Zie voor referentiewaarden Handreiking voor de AMvB reële prijs Wmo (VNG, 2017).</t>
  </si>
  <si>
    <t>Organisatiegebonden overheadkosten</t>
  </si>
  <si>
    <t>Overhead organisatie: Management, administratie, ICT, huisvesting, materiele kosten  e.d. obv. Marktgemiddelde. Omvang wisselt per organisatie. 
Zie voor referentiewaarden Handreiking voor de AMvB reële prijs Wmo (VNG, 2017). Zie tevens Benchmark Care Berenschot (2017).</t>
  </si>
  <si>
    <t>Risico &amp; resultaat</t>
  </si>
  <si>
    <t xml:space="preserve">Risico &amp; resultaat. Tevens kunnen hier opgenomen worden kosten als gevolg van gemeentelijke eisen, zoals rapportageverplichtingen en administratieve verplichtingen, of specifieke afspraken over vermindering van kosten. </t>
  </si>
  <si>
    <t>INDEXATIE</t>
  </si>
  <si>
    <t>Indexatiepercentage</t>
  </si>
  <si>
    <t>Vul hier de gekozen methodiek in (gangbaar OVA-index)</t>
  </si>
  <si>
    <t>Ongewogen tarief per uur</t>
  </si>
  <si>
    <t>Gewogen tarief per uur</t>
  </si>
  <si>
    <t xml:space="preserve">Tariefvoorbeeld 2018 met de gekozen periodieke inzetmix </t>
  </si>
  <si>
    <t>Naam combinatie loonschaal en -periodiek</t>
  </si>
  <si>
    <t>HH-1</t>
  </si>
  <si>
    <t>HH-2</t>
  </si>
  <si>
    <t>CAO keuze</t>
  </si>
  <si>
    <t>VVT</t>
  </si>
  <si>
    <t>FWG schaal</t>
  </si>
  <si>
    <t>FWG20</t>
  </si>
  <si>
    <t>Inzetmix per FWG schaal</t>
  </si>
  <si>
    <t>Vaste componenten of cao afgeleid</t>
  </si>
  <si>
    <t>Pas toe en leg uit</t>
  </si>
  <si>
    <t>Vakantietoeslag (minimum cao bepaald 0,98)</t>
  </si>
  <si>
    <t>Eindejaarsuitkering (minimum cao bepaald (0,94)</t>
  </si>
  <si>
    <t>Beschikking belastingdienst</t>
  </si>
  <si>
    <t>Eigen risicodrager: keuze onderneming</t>
  </si>
  <si>
    <t>KOSTPRIJS PER UUR</t>
  </si>
  <si>
    <t>Bron: Brancheviewer Vernet</t>
  </si>
  <si>
    <t>Kosten niet-werkbare uren claimrecht (verlof, ziekteverzuim, scholing)</t>
  </si>
  <si>
    <t>SECUNDAIR TOE TE BEREKENEN KOSTEN PER UUR</t>
  </si>
  <si>
    <t>Niet planbaar, wel te verlonen tijd</t>
  </si>
  <si>
    <t>Indirect Clientgebonden tijd (%)</t>
  </si>
  <si>
    <t>Rapportage clientdossier, casus overleg</t>
  </si>
  <si>
    <t>Organisatiegebonden tijd (%)</t>
  </si>
  <si>
    <t>Overige administratie, team overleg</t>
  </si>
  <si>
    <t>Eerste reis naar werk</t>
  </si>
  <si>
    <t>Ter vergelijking: onderzoek PWC april 2017 invloed op tarief eerste reis naar werk 3,4% tov de hier gehanteerde 1,9% (€0,28)</t>
  </si>
  <si>
    <t>Totaal reiskosten per uur</t>
  </si>
  <si>
    <t>Overhead over alle bovenstaande posten</t>
  </si>
  <si>
    <t>Totale kosten per uur in te zetten medewerker</t>
  </si>
  <si>
    <t>Opslag voor additionele administratieve lasten</t>
  </si>
  <si>
    <t>Gemeentelijke eisen, inkoopkenmerken, extra accountantscontroles</t>
  </si>
  <si>
    <t>RISICO &amp; MARGE</t>
  </si>
  <si>
    <t>Ongewogen tarief totaal</t>
  </si>
  <si>
    <t>Gewogen tarief</t>
  </si>
  <si>
    <t>Tarief per ondersteuningsvorm met de gekozen FWG inzetmix</t>
  </si>
  <si>
    <t>Berekening pensioenpremie HV schaal</t>
  </si>
  <si>
    <t xml:space="preserve">Ondersteuningsvorm; benaming gemeente </t>
  </si>
  <si>
    <t>Bruto uurloon</t>
  </si>
  <si>
    <t>Brutoloon tbv berekening premie-%</t>
  </si>
  <si>
    <t>Totaal bruto uurloon incl Vak toeslag en EJU</t>
  </si>
  <si>
    <t>Fulltime salaris</t>
  </si>
  <si>
    <t>OP Premie vaststellen</t>
  </si>
  <si>
    <t>% (werkgevers +werknemersdeel)</t>
  </si>
  <si>
    <t xml:space="preserve">Franchise </t>
  </si>
  <si>
    <t>Grondslag</t>
  </si>
  <si>
    <t>Premie (per jaar)</t>
  </si>
  <si>
    <r>
      <t xml:space="preserve">Werkgeversdeel OP </t>
    </r>
    <r>
      <rPr>
        <sz val="11"/>
        <color theme="1"/>
        <rFont val="Calibri"/>
        <family val="2"/>
        <scheme val="minor"/>
      </rPr>
      <t>(toe te passen %, na aftrek franchise)</t>
    </r>
  </si>
  <si>
    <t>AP Premie vaststellen</t>
  </si>
  <si>
    <t>Franchise (= frachisebedrag pensioenfonds)</t>
  </si>
  <si>
    <r>
      <t xml:space="preserve">Werkgeversdeel AP </t>
    </r>
    <r>
      <rPr>
        <sz val="11"/>
        <color theme="1"/>
        <rFont val="Calibri"/>
        <family val="2"/>
        <scheme val="minor"/>
      </rPr>
      <t>(toe te passen %, na aftrek franchise)</t>
    </r>
  </si>
  <si>
    <t>Totaal Werkgeversdeel</t>
  </si>
  <si>
    <t>Berekening pensioenpremie (VVT / VGN beide Pensioenfonds PZW)</t>
  </si>
  <si>
    <t>Cao</t>
  </si>
  <si>
    <t>FWG</t>
  </si>
  <si>
    <r>
      <t>Totaal Bruto uurloon</t>
    </r>
    <r>
      <rPr>
        <i/>
        <sz val="9"/>
        <color theme="1"/>
        <rFont val="Verdana"/>
        <family val="2"/>
      </rPr>
      <t/>
    </r>
  </si>
  <si>
    <t>Bruto-netto berekening</t>
  </si>
  <si>
    <t>CAO percentage</t>
  </si>
  <si>
    <t>Reken-percentage</t>
  </si>
  <si>
    <t>Bruto uren</t>
  </si>
  <si>
    <t xml:space="preserve">In de cao VVT (2016-2018) is opgenomen dat het scholingsbudget minimaal 2% van de loonsom bedraagt (Artikel 10.1A). Hier is dat vertaald in 2% van de indirecte tijd. </t>
  </si>
  <si>
    <t>Ziekteverzuim wisselt per organisatie.
Het gemiddelde in de VVT-sector is volgens brancheviewer Vernet 6,56% (gemiddeld over 4e kwartaal 2016 tot en met derde kwartaal 2017).
Het gemiddelde in de zorgsector breed is volgens CBS in het tweede kwartaal van 2017 5,1% (niet-representatief voor hulp bij het huishouden).</t>
  </si>
  <si>
    <t>Netto uren</t>
  </si>
  <si>
    <r>
      <rPr>
        <u/>
        <sz val="11"/>
        <color theme="1"/>
        <rFont val="Calibri"/>
        <family val="2"/>
        <scheme val="minor"/>
      </rPr>
      <t>Toelichting</t>
    </r>
    <r>
      <rPr>
        <sz val="11"/>
        <color theme="1"/>
        <rFont val="Calibri"/>
        <family val="2"/>
        <scheme val="minor"/>
      </rPr>
      <t xml:space="preserve">: </t>
    </r>
  </si>
  <si>
    <t>De netto berekening is gebaseerd op de aangegeven verplichtende factoren (o.g.v. de cao-VVT en wetgeving)</t>
  </si>
  <si>
    <t>van improductiviteit. Deze verplichtende factoren gelden evenzeer voor de (kosten van) vervanging gedurende verlof, scholing en ziekteverzuim.</t>
  </si>
  <si>
    <t>Dit is derhalve in de rekenpercentages meegenomen.</t>
  </si>
  <si>
    <t>Indien het CAO uurloon lager is dan het minimumuurloon is wettelijk verplicht het minimumuurloon te vergoeden;</t>
  </si>
  <si>
    <t>Minimumuurloon d.d. 1 januari 2018 is 10,12. per juli en per januari wordt telekens het minimumuurloon opnieuw vastgesteld</t>
  </si>
  <si>
    <t>VGN</t>
  </si>
  <si>
    <t>per 1-7-2017</t>
  </si>
  <si>
    <t>FWG25</t>
  </si>
  <si>
    <t>FWG30</t>
  </si>
  <si>
    <t>Uniek</t>
  </si>
  <si>
    <t>CAO</t>
  </si>
  <si>
    <t>Schaal</t>
  </si>
  <si>
    <t>Uurloon 1-7-2017</t>
  </si>
  <si>
    <t>CAO uurloon is lager dan wettelijk minimum uurloon en wordt wettelijk overruled door wettelijk minimum uurloon 1-1-2018; € 10,12</t>
  </si>
  <si>
    <t>Uurloon</t>
  </si>
  <si>
    <t>VVTFWG25Periodiek</t>
  </si>
  <si>
    <t>uurloon 1-1-2017</t>
  </si>
  <si>
    <t>uurloon 2018</t>
  </si>
  <si>
    <t>Inpasnr</t>
  </si>
  <si>
    <t>Uurloon 2016</t>
  </si>
  <si>
    <t>Uurloon 2018</t>
  </si>
  <si>
    <t>CAO verhoging  (1,3%)</t>
  </si>
  <si>
    <t>CAO verhoging 1-6-18 (2,1%; gemiddeld 2018; 2,1%/12*7=1,3% )</t>
  </si>
  <si>
    <t>toepassen CAO verhoging</t>
  </si>
  <si>
    <t>CAO uurloon is lager dan wettelijk minimum uurloon en wordt wettelijk overruled door wettelijk minimum uurloon 1-1-2017; € 10,12</t>
  </si>
  <si>
    <t>HV schaal</t>
  </si>
  <si>
    <t>HH0</t>
  </si>
  <si>
    <t>HH1</t>
  </si>
  <si>
    <t>HH2</t>
  </si>
  <si>
    <t>HH3</t>
  </si>
  <si>
    <t>HH4</t>
  </si>
  <si>
    <t>HH5</t>
  </si>
  <si>
    <t>Vakantiebijslag</t>
  </si>
  <si>
    <t>Minimum vakantiebijslag</t>
  </si>
  <si>
    <t>Reiskosten toe te berekenen per uur (het kan hier gaan om reiskosten en/of reistijd, artikel 1.1 lid 4 CAO-VVT)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</si>
</sst>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\ * #,##0.00_);_(&quot;€&quot;\ * \(#,##0.00\);_(&quot;€&quot;\ * &quot;-&quot;??_);_(@_)"/>
    <numFmt numFmtId="165" formatCode="###0;###0"/>
    <numFmt numFmtId="166" formatCode="0.000%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Verdana"/>
      <family val="2"/>
    </font>
    <font>
      <i/>
      <sz val="9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rgb="FF000000"/>
      <name val="Calibri"/>
      <family val="2"/>
    </font>
    <font>
      <b/>
      <sz val="8"/>
      <color rgb="FF000000"/>
      <name val="Verdana"/>
      <family val="2"/>
    </font>
    <font>
      <sz val="10"/>
      <color theme="1"/>
      <name val="Verdana"/>
      <family val="2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1F1F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ADCDD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13" fillId="0" borderId="0" applyNumberForma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9" fillId="0" borderId="0"/>
    <xf numFmtId="44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348">
    <xf numFmtId="0" fontId="0" fillId="0" borderId="0" xfId="0"/>
    <xf numFmtId="0" fontId="0" fillId="8" borderId="0" xfId="0" applyFill="1"/>
    <xf numFmtId="0" fontId="5" fillId="8" borderId="0" xfId="0" applyFont="1" applyFill="1"/>
    <xf numFmtId="0" fontId="0" fillId="8" borderId="0" xfId="0" applyFill="1" applyAlignment="1">
      <alignment horizontal="center"/>
    </xf>
    <xf numFmtId="0" fontId="5" fillId="8" borderId="0" xfId="0" applyFont="1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0" fillId="9" borderId="0" xfId="0" applyFont="1" applyFill="1"/>
    <xf numFmtId="10" fontId="0" fillId="9" borderId="0" xfId="2" applyNumberFormat="1" applyFont="1" applyFill="1"/>
    <xf numFmtId="164" fontId="0" fillId="9" borderId="0" xfId="0" applyNumberFormat="1" applyFill="1" applyAlignment="1">
      <alignment horizontal="center"/>
    </xf>
    <xf numFmtId="0" fontId="5" fillId="9" borderId="0" xfId="0" applyFont="1" applyFill="1"/>
    <xf numFmtId="164" fontId="5" fillId="9" borderId="0" xfId="0" applyNumberFormat="1" applyFont="1" applyFill="1" applyAlignment="1">
      <alignment horizontal="center"/>
    </xf>
    <xf numFmtId="164" fontId="5" fillId="9" borderId="0" xfId="1" applyFont="1" applyFill="1" applyAlignment="1">
      <alignment horizontal="center"/>
    </xf>
    <xf numFmtId="10" fontId="0" fillId="9" borderId="0" xfId="0" applyNumberFormat="1" applyFill="1"/>
    <xf numFmtId="0" fontId="5" fillId="9" borderId="0" xfId="0" applyFont="1" applyFill="1" applyAlignment="1">
      <alignment horizontal="center"/>
    </xf>
    <xf numFmtId="10" fontId="5" fillId="9" borderId="0" xfId="0" applyNumberFormat="1" applyFont="1" applyFill="1"/>
    <xf numFmtId="164" fontId="5" fillId="9" borderId="0" xfId="1" applyFont="1" applyFill="1"/>
    <xf numFmtId="0" fontId="0" fillId="10" borderId="0" xfId="0" applyFill="1" applyAlignment="1">
      <alignment horizontal="center"/>
    </xf>
    <xf numFmtId="0" fontId="0" fillId="10" borderId="0" xfId="0" applyFill="1"/>
    <xf numFmtId="0" fontId="11" fillId="9" borderId="0" xfId="0" applyFont="1" applyFill="1"/>
    <xf numFmtId="0" fontId="0" fillId="9" borderId="10" xfId="0" applyFill="1" applyBorder="1"/>
    <xf numFmtId="0" fontId="0" fillId="9" borderId="10" xfId="0" applyFill="1" applyBorder="1" applyAlignment="1">
      <alignment horizontal="center"/>
    </xf>
    <xf numFmtId="164" fontId="0" fillId="9" borderId="10" xfId="1" applyFont="1" applyFill="1" applyBorder="1" applyAlignment="1">
      <alignment horizontal="center"/>
    </xf>
    <xf numFmtId="0" fontId="0" fillId="9" borderId="11" xfId="0" applyFill="1" applyBorder="1"/>
    <xf numFmtId="0" fontId="0" fillId="9" borderId="11" xfId="0" applyFill="1" applyBorder="1" applyAlignment="1">
      <alignment horizontal="center"/>
    </xf>
    <xf numFmtId="10" fontId="0" fillId="9" borderId="11" xfId="0" applyNumberFormat="1" applyFill="1" applyBorder="1"/>
    <xf numFmtId="164" fontId="0" fillId="9" borderId="11" xfId="1" applyFont="1" applyFill="1" applyBorder="1" applyAlignment="1">
      <alignment horizontal="center"/>
    </xf>
    <xf numFmtId="10" fontId="0" fillId="9" borderId="11" xfId="2" applyNumberFormat="1" applyFont="1" applyFill="1" applyBorder="1"/>
    <xf numFmtId="0" fontId="5" fillId="9" borderId="11" xfId="0" applyFont="1" applyFill="1" applyBorder="1" applyAlignment="1">
      <alignment horizontal="center"/>
    </xf>
    <xf numFmtId="10" fontId="0" fillId="9" borderId="10" xfId="0" applyNumberFormat="1" applyFill="1" applyBorder="1"/>
    <xf numFmtId="10" fontId="0" fillId="9" borderId="10" xfId="2" applyNumberFormat="1" applyFont="1" applyFill="1" applyBorder="1"/>
    <xf numFmtId="0" fontId="5" fillId="9" borderId="12" xfId="0" applyFont="1" applyFill="1" applyBorder="1"/>
    <xf numFmtId="0" fontId="5" fillId="9" borderId="12" xfId="0" applyFont="1" applyFill="1" applyBorder="1" applyAlignment="1">
      <alignment horizontal="center"/>
    </xf>
    <xf numFmtId="10" fontId="5" fillId="9" borderId="12" xfId="2" applyNumberFormat="1" applyFont="1" applyFill="1" applyBorder="1"/>
    <xf numFmtId="164" fontId="5" fillId="9" borderId="12" xfId="0" applyNumberFormat="1" applyFont="1" applyFill="1" applyBorder="1" applyAlignment="1">
      <alignment horizontal="center"/>
    </xf>
    <xf numFmtId="0" fontId="0" fillId="9" borderId="12" xfId="0" applyFill="1" applyBorder="1"/>
    <xf numFmtId="10" fontId="0" fillId="9" borderId="12" xfId="0" applyNumberFormat="1" applyFill="1" applyBorder="1"/>
    <xf numFmtId="10" fontId="5" fillId="9" borderId="12" xfId="0" applyNumberFormat="1" applyFont="1" applyFill="1" applyBorder="1"/>
    <xf numFmtId="0" fontId="12" fillId="7" borderId="0" xfId="0" applyFont="1" applyFill="1"/>
    <xf numFmtId="0" fontId="12" fillId="7" borderId="0" xfId="0" applyFont="1" applyFill="1" applyAlignment="1">
      <alignment horizontal="center"/>
    </xf>
    <xf numFmtId="0" fontId="11" fillId="7" borderId="0" xfId="0" applyFont="1" applyFill="1"/>
    <xf numFmtId="0" fontId="0" fillId="7" borderId="0" xfId="0" applyFill="1"/>
    <xf numFmtId="0" fontId="11" fillId="7" borderId="0" xfId="0" applyFont="1" applyFill="1" applyAlignment="1">
      <alignment horizontal="center"/>
    </xf>
    <xf numFmtId="0" fontId="0" fillId="9" borderId="10" xfId="0" applyFont="1" applyFill="1" applyBorder="1"/>
    <xf numFmtId="0" fontId="0" fillId="9" borderId="10" xfId="0" applyFont="1" applyFill="1" applyBorder="1" applyAlignment="1">
      <alignment horizontal="center"/>
    </xf>
    <xf numFmtId="0" fontId="0" fillId="9" borderId="11" xfId="0" applyFont="1" applyFill="1" applyBorder="1"/>
    <xf numFmtId="164" fontId="0" fillId="9" borderId="10" xfId="0" applyNumberFormat="1" applyFill="1" applyBorder="1" applyAlignment="1">
      <alignment horizontal="center"/>
    </xf>
    <xf numFmtId="164" fontId="0" fillId="9" borderId="11" xfId="0" applyNumberFormat="1" applyFill="1" applyBorder="1" applyAlignment="1">
      <alignment horizontal="center"/>
    </xf>
    <xf numFmtId="0" fontId="0" fillId="9" borderId="10" xfId="0" applyFont="1" applyFill="1" applyBorder="1" applyAlignment="1">
      <alignment wrapText="1"/>
    </xf>
    <xf numFmtId="0" fontId="9" fillId="9" borderId="0" xfId="0" applyFont="1" applyFill="1" applyBorder="1" applyAlignment="1" applyProtection="1"/>
    <xf numFmtId="0" fontId="10" fillId="9" borderId="0" xfId="0" applyFont="1" applyFill="1" applyBorder="1" applyProtection="1"/>
    <xf numFmtId="0" fontId="9" fillId="7" borderId="0" xfId="0" applyFont="1" applyFill="1" applyBorder="1" applyProtection="1"/>
    <xf numFmtId="10" fontId="5" fillId="7" borderId="0" xfId="0" applyNumberFormat="1" applyFont="1" applyFill="1"/>
    <xf numFmtId="164" fontId="0" fillId="9" borderId="11" xfId="1" applyFont="1" applyFill="1" applyBorder="1"/>
    <xf numFmtId="164" fontId="0" fillId="9" borderId="11" xfId="0" applyNumberFormat="1" applyFill="1" applyBorder="1"/>
    <xf numFmtId="164" fontId="0" fillId="9" borderId="10" xfId="0" applyNumberFormat="1" applyFill="1" applyBorder="1"/>
    <xf numFmtId="0" fontId="9" fillId="9" borderId="11" xfId="0" applyFont="1" applyFill="1" applyBorder="1" applyAlignment="1" applyProtection="1"/>
    <xf numFmtId="0" fontId="9" fillId="8" borderId="0" xfId="0" applyFont="1" applyFill="1" applyBorder="1" applyProtection="1"/>
    <xf numFmtId="10" fontId="5" fillId="8" borderId="0" xfId="2" applyNumberFormat="1" applyFont="1" applyFill="1"/>
    <xf numFmtId="0" fontId="0" fillId="9" borderId="10" xfId="0" applyNumberFormat="1" applyFill="1" applyBorder="1" applyAlignment="1">
      <alignment horizontal="center"/>
    </xf>
    <xf numFmtId="0" fontId="0" fillId="10" borderId="11" xfId="0" applyFill="1" applyBorder="1" applyAlignment="1" applyProtection="1">
      <alignment horizontal="center"/>
      <protection locked="0"/>
    </xf>
    <xf numFmtId="9" fontId="0" fillId="10" borderId="11" xfId="0" applyNumberFormat="1" applyFill="1" applyBorder="1" applyAlignment="1" applyProtection="1">
      <alignment horizontal="center"/>
      <protection locked="0"/>
    </xf>
    <xf numFmtId="14" fontId="0" fillId="10" borderId="10" xfId="0" applyNumberFormat="1" applyFill="1" applyBorder="1" applyProtection="1">
      <protection locked="0"/>
    </xf>
    <xf numFmtId="0" fontId="0" fillId="10" borderId="11" xfId="0" applyFill="1" applyBorder="1" applyProtection="1">
      <protection locked="0"/>
    </xf>
    <xf numFmtId="10" fontId="0" fillId="10" borderId="11" xfId="2" applyNumberFormat="1" applyFont="1" applyFill="1" applyBorder="1" applyProtection="1">
      <protection locked="0"/>
    </xf>
    <xf numFmtId="10" fontId="0" fillId="10" borderId="11" xfId="0" applyNumberFormat="1" applyFill="1" applyBorder="1" applyProtection="1">
      <protection locked="0"/>
    </xf>
    <xf numFmtId="10" fontId="0" fillId="10" borderId="10" xfId="2" applyNumberFormat="1" applyFont="1" applyFill="1" applyBorder="1" applyProtection="1">
      <protection locked="0"/>
    </xf>
    <xf numFmtId="0" fontId="0" fillId="10" borderId="10" xfId="0" applyFill="1" applyBorder="1" applyProtection="1">
      <protection locked="0"/>
    </xf>
    <xf numFmtId="164" fontId="0" fillId="10" borderId="10" xfId="1" applyFont="1" applyFill="1" applyBorder="1" applyAlignment="1" applyProtection="1">
      <alignment horizontal="center"/>
      <protection locked="0"/>
    </xf>
    <xf numFmtId="0" fontId="0" fillId="10" borderId="10" xfId="0" applyFill="1" applyBorder="1" applyAlignment="1" applyProtection="1">
      <alignment wrapText="1"/>
      <protection locked="0"/>
    </xf>
    <xf numFmtId="164" fontId="0" fillId="10" borderId="11" xfId="1" applyFont="1" applyFill="1" applyBorder="1" applyAlignment="1" applyProtection="1">
      <alignment horizontal="center"/>
      <protection locked="0"/>
    </xf>
    <xf numFmtId="0" fontId="13" fillId="10" borderId="10" xfId="4" applyFill="1" applyBorder="1" applyProtection="1">
      <protection locked="0"/>
    </xf>
    <xf numFmtId="0" fontId="23" fillId="10" borderId="0" xfId="0" applyFont="1" applyFill="1"/>
    <xf numFmtId="0" fontId="0" fillId="8" borderId="11" xfId="0" applyFill="1" applyBorder="1" applyAlignment="1" applyProtection="1">
      <alignment horizontal="center"/>
      <protection locked="0"/>
    </xf>
    <xf numFmtId="9" fontId="0" fillId="8" borderId="11" xfId="0" applyNumberFormat="1" applyFill="1" applyBorder="1" applyAlignment="1" applyProtection="1">
      <alignment horizontal="center"/>
      <protection locked="0"/>
    </xf>
    <xf numFmtId="164" fontId="0" fillId="8" borderId="10" xfId="1" applyFont="1" applyFill="1" applyBorder="1" applyAlignment="1">
      <alignment horizontal="center"/>
    </xf>
    <xf numFmtId="164" fontId="0" fillId="8" borderId="11" xfId="1" applyFont="1" applyFill="1" applyBorder="1" applyAlignment="1">
      <alignment horizontal="center"/>
    </xf>
    <xf numFmtId="164" fontId="5" fillId="8" borderId="12" xfId="0" applyNumberFormat="1" applyFont="1" applyFill="1" applyBorder="1" applyAlignment="1">
      <alignment horizontal="center"/>
    </xf>
    <xf numFmtId="164" fontId="5" fillId="8" borderId="0" xfId="0" applyNumberFormat="1" applyFont="1" applyFill="1" applyAlignment="1">
      <alignment horizontal="center"/>
    </xf>
    <xf numFmtId="164" fontId="5" fillId="8" borderId="0" xfId="1" applyFont="1" applyFill="1"/>
    <xf numFmtId="164" fontId="0" fillId="8" borderId="10" xfId="0" applyNumberFormat="1" applyFill="1" applyBorder="1" applyAlignment="1">
      <alignment horizontal="center"/>
    </xf>
    <xf numFmtId="164" fontId="0" fillId="8" borderId="11" xfId="0" applyNumberFormat="1" applyFill="1" applyBorder="1" applyAlignment="1">
      <alignment horizontal="center"/>
    </xf>
    <xf numFmtId="164" fontId="0" fillId="8" borderId="0" xfId="0" applyNumberFormat="1" applyFill="1" applyAlignment="1">
      <alignment horizontal="center"/>
    </xf>
    <xf numFmtId="164" fontId="0" fillId="8" borderId="10" xfId="1" applyFont="1" applyFill="1" applyBorder="1" applyAlignment="1" applyProtection="1">
      <alignment horizontal="center"/>
      <protection locked="0"/>
    </xf>
    <xf numFmtId="164" fontId="0" fillId="8" borderId="11" xfId="1" applyFont="1" applyFill="1" applyBorder="1" applyAlignment="1" applyProtection="1">
      <alignment horizontal="center"/>
      <protection locked="0"/>
    </xf>
    <xf numFmtId="164" fontId="5" fillId="8" borderId="0" xfId="1" applyFont="1" applyFill="1" applyAlignment="1">
      <alignment horizontal="center"/>
    </xf>
    <xf numFmtId="0" fontId="5" fillId="8" borderId="10" xfId="0" applyFont="1" applyFill="1" applyBorder="1" applyAlignment="1" applyProtection="1">
      <alignment horizontal="center"/>
      <protection locked="0"/>
    </xf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vertical="center"/>
    </xf>
    <xf numFmtId="0" fontId="5" fillId="7" borderId="0" xfId="0" applyFont="1" applyFill="1" applyAlignment="1">
      <alignment vertical="center"/>
    </xf>
    <xf numFmtId="0" fontId="5" fillId="9" borderId="0" xfId="0" applyFont="1" applyFill="1" applyAlignment="1">
      <alignment wrapText="1"/>
    </xf>
    <xf numFmtId="0" fontId="23" fillId="10" borderId="0" xfId="0" applyFont="1" applyFill="1" applyProtection="1"/>
    <xf numFmtId="0" fontId="0" fillId="10" borderId="0" xfId="0" applyFill="1" applyAlignment="1" applyProtection="1">
      <alignment horizontal="center"/>
    </xf>
    <xf numFmtId="0" fontId="0" fillId="9" borderId="0" xfId="0" applyFill="1" applyAlignment="1" applyProtection="1">
      <alignment horizontal="center"/>
    </xf>
    <xf numFmtId="0" fontId="0" fillId="9" borderId="0" xfId="0" applyFill="1" applyProtection="1"/>
    <xf numFmtId="0" fontId="11" fillId="7" borderId="0" xfId="0" applyFont="1" applyFill="1" applyProtection="1"/>
    <xf numFmtId="0" fontId="11" fillId="9" borderId="0" xfId="0" applyFont="1" applyFill="1" applyProtection="1"/>
    <xf numFmtId="0" fontId="0" fillId="8" borderId="0" xfId="0" applyFill="1" applyProtection="1"/>
    <xf numFmtId="0" fontId="0" fillId="7" borderId="0" xfId="0" applyFill="1" applyProtection="1"/>
    <xf numFmtId="0" fontId="0" fillId="8" borderId="0" xfId="0" applyFill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 vertical="center" wrapText="1"/>
    </xf>
    <xf numFmtId="0" fontId="5" fillId="7" borderId="0" xfId="0" applyFont="1" applyFill="1" applyAlignment="1" applyProtection="1">
      <alignment horizontal="center" vertical="center"/>
    </xf>
    <xf numFmtId="0" fontId="0" fillId="7" borderId="0" xfId="0" applyFill="1" applyAlignment="1" applyProtection="1">
      <alignment horizontal="center" vertical="center"/>
    </xf>
    <xf numFmtId="0" fontId="0" fillId="8" borderId="0" xfId="0" applyFill="1" applyAlignment="1" applyProtection="1">
      <alignment vertical="center"/>
    </xf>
    <xf numFmtId="0" fontId="5" fillId="7" borderId="0" xfId="0" applyFont="1" applyFill="1" applyAlignment="1" applyProtection="1">
      <alignment vertical="center"/>
    </xf>
    <xf numFmtId="164" fontId="12" fillId="7" borderId="0" xfId="0" applyNumberFormat="1" applyFont="1" applyFill="1" applyAlignment="1" applyProtection="1"/>
    <xf numFmtId="0" fontId="9" fillId="7" borderId="0" xfId="0" applyFont="1" applyFill="1" applyBorder="1" applyAlignment="1" applyProtection="1">
      <alignment wrapText="1"/>
    </xf>
    <xf numFmtId="0" fontId="9" fillId="7" borderId="0" xfId="0" applyFont="1" applyFill="1" applyBorder="1" applyAlignment="1" applyProtection="1">
      <alignment horizontal="center" wrapText="1"/>
    </xf>
    <xf numFmtId="0" fontId="5" fillId="9" borderId="0" xfId="0" quotePrefix="1" applyFont="1" applyFill="1" applyBorder="1" applyAlignment="1" applyProtection="1"/>
    <xf numFmtId="10" fontId="9" fillId="8" borderId="0" xfId="2" applyNumberFormat="1" applyFont="1" applyFill="1" applyBorder="1" applyAlignment="1" applyProtection="1">
      <alignment horizontal="center"/>
    </xf>
    <xf numFmtId="0" fontId="9" fillId="8" borderId="0" xfId="0" applyFont="1" applyFill="1" applyBorder="1" applyAlignment="1" applyProtection="1">
      <alignment horizontal="center"/>
    </xf>
    <xf numFmtId="10" fontId="0" fillId="10" borderId="10" xfId="0" applyNumberFormat="1" applyFill="1" applyBorder="1" applyAlignment="1" applyProtection="1">
      <alignment vertical="center"/>
      <protection locked="0"/>
    </xf>
    <xf numFmtId="164" fontId="0" fillId="8" borderId="10" xfId="1" applyFont="1" applyFill="1" applyBorder="1" applyAlignment="1" applyProtection="1">
      <alignment horizontal="center" vertical="center"/>
    </xf>
    <xf numFmtId="164" fontId="0" fillId="9" borderId="10" xfId="1" applyFont="1" applyFill="1" applyBorder="1" applyAlignment="1" applyProtection="1">
      <alignment horizontal="center" vertical="center"/>
    </xf>
    <xf numFmtId="0" fontId="12" fillId="7" borderId="0" xfId="0" applyFont="1" applyFill="1" applyAlignment="1" applyProtection="1">
      <alignment vertical="center"/>
    </xf>
    <xf numFmtId="0" fontId="12" fillId="7" borderId="0" xfId="0" applyFont="1" applyFill="1" applyAlignment="1" applyProtection="1">
      <alignment horizontal="center" vertical="center"/>
    </xf>
    <xf numFmtId="0" fontId="0" fillId="9" borderId="11" xfId="0" applyFill="1" applyBorder="1" applyAlignment="1" applyProtection="1">
      <alignment vertical="center"/>
    </xf>
    <xf numFmtId="0" fontId="0" fillId="8" borderId="11" xfId="0" applyFill="1" applyBorder="1" applyAlignment="1" applyProtection="1">
      <alignment horizontal="center" vertical="center"/>
    </xf>
    <xf numFmtId="0" fontId="0" fillId="9" borderId="11" xfId="0" applyFill="1" applyBorder="1" applyAlignment="1" applyProtection="1">
      <alignment horizontal="center" vertical="center"/>
    </xf>
    <xf numFmtId="9" fontId="0" fillId="8" borderId="11" xfId="0" applyNumberFormat="1" applyFill="1" applyBorder="1" applyAlignment="1" applyProtection="1">
      <alignment horizontal="center" vertical="center"/>
    </xf>
    <xf numFmtId="0" fontId="0" fillId="9" borderId="0" xfId="0" applyFill="1" applyAlignment="1" applyProtection="1">
      <alignment vertical="center"/>
    </xf>
    <xf numFmtId="0" fontId="0" fillId="9" borderId="0" xfId="0" applyFill="1" applyAlignment="1" applyProtection="1">
      <alignment horizontal="center" vertical="center"/>
    </xf>
    <xf numFmtId="0" fontId="0" fillId="7" borderId="0" xfId="0" applyFill="1" applyAlignment="1" applyProtection="1">
      <alignment vertical="center"/>
    </xf>
    <xf numFmtId="0" fontId="5" fillId="8" borderId="0" xfId="0" applyFont="1" applyFill="1" applyAlignment="1" applyProtection="1">
      <alignment vertical="center"/>
    </xf>
    <xf numFmtId="0" fontId="0" fillId="9" borderId="10" xfId="0" applyFill="1" applyBorder="1" applyAlignment="1" applyProtection="1">
      <alignment vertical="center"/>
    </xf>
    <xf numFmtId="0" fontId="0" fillId="9" borderId="10" xfId="0" applyFill="1" applyBorder="1" applyAlignment="1" applyProtection="1">
      <alignment horizontal="center" vertical="center"/>
    </xf>
    <xf numFmtId="164" fontId="0" fillId="8" borderId="11" xfId="1" applyFont="1" applyFill="1" applyBorder="1" applyAlignment="1" applyProtection="1">
      <alignment horizontal="center" vertical="center"/>
    </xf>
    <xf numFmtId="10" fontId="0" fillId="9" borderId="11" xfId="0" applyNumberFormat="1" applyFill="1" applyBorder="1" applyAlignment="1" applyProtection="1">
      <alignment vertical="center"/>
    </xf>
    <xf numFmtId="164" fontId="0" fillId="9" borderId="11" xfId="1" applyFont="1" applyFill="1" applyBorder="1" applyAlignment="1" applyProtection="1">
      <alignment horizontal="center" vertical="center"/>
    </xf>
    <xf numFmtId="10" fontId="0" fillId="9" borderId="11" xfId="2" applyNumberFormat="1" applyFont="1" applyFill="1" applyBorder="1" applyAlignment="1" applyProtection="1">
      <alignment vertical="center"/>
    </xf>
    <xf numFmtId="0" fontId="5" fillId="9" borderId="12" xfId="0" applyFont="1" applyFill="1" applyBorder="1" applyAlignment="1" applyProtection="1">
      <alignment vertical="center"/>
    </xf>
    <xf numFmtId="164" fontId="5" fillId="8" borderId="12" xfId="0" applyNumberFormat="1" applyFont="1" applyFill="1" applyBorder="1" applyAlignment="1" applyProtection="1">
      <alignment horizontal="center" vertical="center"/>
    </xf>
    <xf numFmtId="0" fontId="5" fillId="9" borderId="12" xfId="0" applyFont="1" applyFill="1" applyBorder="1" applyAlignment="1" applyProtection="1">
      <alignment horizontal="center" vertical="center"/>
    </xf>
    <xf numFmtId="164" fontId="5" fillId="9" borderId="12" xfId="0" applyNumberFormat="1" applyFont="1" applyFill="1" applyBorder="1" applyAlignment="1" applyProtection="1">
      <alignment horizontal="center" vertical="center"/>
    </xf>
    <xf numFmtId="10" fontId="0" fillId="9" borderId="10" xfId="2" applyNumberFormat="1" applyFont="1" applyFill="1" applyBorder="1" applyAlignment="1" applyProtection="1">
      <alignment vertical="center"/>
    </xf>
    <xf numFmtId="10" fontId="0" fillId="10" borderId="11" xfId="2" applyNumberFormat="1" applyFont="1" applyFill="1" applyBorder="1" applyAlignment="1" applyProtection="1">
      <alignment vertical="center"/>
      <protection locked="0"/>
    </xf>
    <xf numFmtId="10" fontId="5" fillId="9" borderId="12" xfId="2" applyNumberFormat="1" applyFont="1" applyFill="1" applyBorder="1" applyAlignment="1" applyProtection="1">
      <alignment vertical="center"/>
    </xf>
    <xf numFmtId="0" fontId="5" fillId="9" borderId="0" xfId="0" applyFont="1" applyFill="1" applyBorder="1" applyAlignment="1" applyProtection="1">
      <alignment vertical="center"/>
    </xf>
    <xf numFmtId="164" fontId="5" fillId="8" borderId="0" xfId="0" applyNumberFormat="1" applyFont="1" applyFill="1" applyBorder="1" applyAlignment="1" applyProtection="1">
      <alignment horizontal="center" vertical="center"/>
    </xf>
    <xf numFmtId="0" fontId="5" fillId="9" borderId="0" xfId="0" applyFont="1" applyFill="1" applyBorder="1" applyAlignment="1" applyProtection="1">
      <alignment horizontal="center" vertical="center"/>
    </xf>
    <xf numFmtId="10" fontId="5" fillId="9" borderId="0" xfId="2" applyNumberFormat="1" applyFont="1" applyFill="1" applyBorder="1" applyAlignment="1" applyProtection="1">
      <alignment vertical="center"/>
    </xf>
    <xf numFmtId="164" fontId="5" fillId="9" borderId="0" xfId="0" applyNumberFormat="1" applyFont="1" applyFill="1" applyBorder="1" applyAlignment="1" applyProtection="1">
      <alignment horizontal="center" vertical="center"/>
    </xf>
    <xf numFmtId="0" fontId="5" fillId="9" borderId="0" xfId="0" applyFont="1" applyFill="1" applyAlignment="1" applyProtection="1">
      <alignment vertical="center"/>
    </xf>
    <xf numFmtId="164" fontId="5" fillId="8" borderId="0" xfId="0" applyNumberFormat="1" applyFont="1" applyFill="1" applyAlignment="1" applyProtection="1">
      <alignment horizontal="center" vertical="center"/>
    </xf>
    <xf numFmtId="0" fontId="5" fillId="9" borderId="0" xfId="0" applyFont="1" applyFill="1" applyAlignment="1" applyProtection="1">
      <alignment horizontal="center" vertical="center"/>
    </xf>
    <xf numFmtId="164" fontId="5" fillId="9" borderId="0" xfId="0" applyNumberFormat="1" applyFont="1" applyFill="1" applyAlignment="1" applyProtection="1">
      <alignment horizontal="center" vertical="center"/>
    </xf>
    <xf numFmtId="10" fontId="0" fillId="0" borderId="10" xfId="0" applyNumberFormat="1" applyFill="1" applyBorder="1" applyAlignment="1" applyProtection="1">
      <alignment vertical="center"/>
    </xf>
    <xf numFmtId="164" fontId="5" fillId="8" borderId="0" xfId="1" applyFont="1" applyFill="1" applyBorder="1" applyAlignment="1" applyProtection="1">
      <alignment horizontal="center" vertical="center"/>
    </xf>
    <xf numFmtId="10" fontId="5" fillId="9" borderId="0" xfId="2" applyNumberFormat="1" applyFont="1" applyFill="1" applyBorder="1" applyAlignment="1" applyProtection="1">
      <alignment horizontal="center" vertical="center"/>
    </xf>
    <xf numFmtId="164" fontId="5" fillId="9" borderId="0" xfId="1" applyFont="1" applyFill="1" applyBorder="1" applyAlignment="1" applyProtection="1">
      <alignment horizontal="center" vertical="center"/>
    </xf>
    <xf numFmtId="0" fontId="5" fillId="8" borderId="0" xfId="0" applyFont="1" applyFill="1" applyAlignment="1" applyProtection="1">
      <alignment horizontal="center" vertical="center"/>
    </xf>
    <xf numFmtId="0" fontId="0" fillId="9" borderId="0" xfId="0" applyFill="1" applyBorder="1" applyAlignment="1" applyProtection="1">
      <alignment vertical="center"/>
    </xf>
    <xf numFmtId="0" fontId="0" fillId="8" borderId="0" xfId="0" applyFill="1" applyBorder="1" applyAlignment="1" applyProtection="1">
      <alignment horizontal="center" vertical="center"/>
    </xf>
    <xf numFmtId="0" fontId="0" fillId="9" borderId="0" xfId="0" applyFill="1" applyBorder="1" applyAlignment="1" applyProtection="1">
      <alignment horizontal="center" vertical="center"/>
    </xf>
    <xf numFmtId="0" fontId="0" fillId="9" borderId="10" xfId="0" applyFont="1" applyFill="1" applyBorder="1" applyAlignment="1" applyProtection="1">
      <alignment vertical="center"/>
    </xf>
    <xf numFmtId="0" fontId="0" fillId="9" borderId="11" xfId="0" applyFont="1" applyFill="1" applyBorder="1" applyAlignment="1" applyProtection="1">
      <alignment vertical="center"/>
    </xf>
    <xf numFmtId="164" fontId="5" fillId="8" borderId="0" xfId="1" applyFont="1" applyFill="1" applyAlignment="1" applyProtection="1">
      <alignment horizontal="center" vertical="center"/>
    </xf>
    <xf numFmtId="164" fontId="5" fillId="9" borderId="0" xfId="1" applyFont="1" applyFill="1" applyAlignment="1" applyProtection="1">
      <alignment horizontal="center" vertical="center"/>
    </xf>
    <xf numFmtId="0" fontId="0" fillId="9" borderId="0" xfId="0" applyFont="1" applyFill="1" applyBorder="1" applyAlignment="1" applyProtection="1">
      <alignment vertical="center"/>
    </xf>
    <xf numFmtId="164" fontId="0" fillId="8" borderId="0" xfId="0" applyNumberFormat="1" applyFill="1" applyBorder="1" applyAlignment="1" applyProtection="1">
      <alignment horizontal="center" vertical="center"/>
    </xf>
    <xf numFmtId="164" fontId="0" fillId="8" borderId="10" xfId="0" applyNumberFormat="1" applyFill="1" applyBorder="1" applyAlignment="1" applyProtection="1">
      <alignment horizontal="center" vertical="center"/>
    </xf>
    <xf numFmtId="164" fontId="0" fillId="9" borderId="10" xfId="0" applyNumberFormat="1" applyFill="1" applyBorder="1" applyAlignment="1" applyProtection="1">
      <alignment horizontal="center" vertical="center"/>
    </xf>
    <xf numFmtId="0" fontId="11" fillId="7" borderId="0" xfId="0" applyFont="1" applyFill="1" applyAlignment="1" applyProtection="1">
      <alignment horizontal="center" vertical="center"/>
    </xf>
    <xf numFmtId="0" fontId="11" fillId="7" borderId="0" xfId="0" applyFont="1" applyFill="1" applyAlignment="1" applyProtection="1">
      <alignment vertical="center"/>
    </xf>
    <xf numFmtId="164" fontId="12" fillId="7" borderId="0" xfId="0" applyNumberFormat="1" applyFont="1" applyFill="1" applyAlignment="1" applyProtection="1">
      <alignment vertical="center"/>
    </xf>
    <xf numFmtId="0" fontId="0" fillId="9" borderId="13" xfId="0" applyFill="1" applyBorder="1" applyAlignment="1" applyProtection="1">
      <alignment vertical="center"/>
    </xf>
    <xf numFmtId="0" fontId="0" fillId="8" borderId="13" xfId="0" applyFill="1" applyBorder="1" applyAlignment="1" applyProtection="1">
      <alignment horizontal="center" vertical="center"/>
    </xf>
    <xf numFmtId="0" fontId="0" fillId="9" borderId="13" xfId="0" applyFill="1" applyBorder="1" applyAlignment="1" applyProtection="1">
      <alignment horizontal="center" vertical="center"/>
    </xf>
    <xf numFmtId="10" fontId="0" fillId="10" borderId="13" xfId="0" applyNumberFormat="1" applyFill="1" applyBorder="1" applyAlignment="1" applyProtection="1">
      <alignment vertical="center"/>
      <protection locked="0"/>
    </xf>
    <xf numFmtId="44" fontId="0" fillId="9" borderId="13" xfId="0" applyNumberFormat="1" applyFill="1" applyBorder="1" applyAlignment="1" applyProtection="1">
      <alignment horizontal="center" vertical="center"/>
    </xf>
    <xf numFmtId="9" fontId="0" fillId="10" borderId="11" xfId="0" applyNumberFormat="1" applyFill="1" applyBorder="1" applyAlignment="1" applyProtection="1">
      <alignment horizontal="center" vertical="center"/>
      <protection locked="0"/>
    </xf>
    <xf numFmtId="0" fontId="0" fillId="10" borderId="11" xfId="0" applyFill="1" applyBorder="1" applyAlignment="1" applyProtection="1">
      <alignment horizontal="center" vertical="center"/>
      <protection locked="0"/>
    </xf>
    <xf numFmtId="0" fontId="0" fillId="9" borderId="0" xfId="0" applyFill="1" applyBorder="1" applyProtection="1"/>
    <xf numFmtId="0" fontId="28" fillId="9" borderId="10" xfId="0" applyFont="1" applyFill="1" applyBorder="1" applyAlignment="1" applyProtection="1">
      <alignment vertical="center"/>
    </xf>
    <xf numFmtId="0" fontId="11" fillId="9" borderId="0" xfId="0" applyFont="1" applyFill="1" applyBorder="1" applyProtection="1"/>
    <xf numFmtId="0" fontId="12" fillId="7" borderId="0" xfId="0" applyFont="1" applyFill="1" applyAlignment="1" applyProtection="1">
      <alignment horizontal="center"/>
      <protection locked="0"/>
    </xf>
    <xf numFmtId="164" fontId="12" fillId="7" borderId="0" xfId="0" applyNumberFormat="1" applyFont="1" applyFill="1" applyAlignment="1">
      <alignment horizontal="center"/>
    </xf>
    <xf numFmtId="44" fontId="0" fillId="10" borderId="10" xfId="1" applyNumberFormat="1" applyFont="1" applyFill="1" applyBorder="1" applyAlignment="1" applyProtection="1">
      <alignment horizontal="center" vertical="center"/>
      <protection locked="0"/>
    </xf>
    <xf numFmtId="164" fontId="12" fillId="7" borderId="0" xfId="0" applyNumberFormat="1" applyFont="1" applyFill="1" applyAlignment="1" applyProtection="1">
      <alignment horizontal="center" vertical="center"/>
    </xf>
    <xf numFmtId="0" fontId="5" fillId="7" borderId="0" xfId="0" quotePrefix="1" applyFont="1" applyFill="1" applyBorder="1" applyAlignment="1" applyProtection="1">
      <alignment horizontal="left"/>
    </xf>
    <xf numFmtId="0" fontId="3" fillId="9" borderId="10" xfId="0" applyFont="1" applyFill="1" applyBorder="1" applyAlignment="1" applyProtection="1">
      <alignment wrapText="1"/>
    </xf>
    <xf numFmtId="0" fontId="3" fillId="9" borderId="11" xfId="0" applyFont="1" applyFill="1" applyBorder="1" applyAlignment="1" applyProtection="1">
      <alignment wrapText="1"/>
    </xf>
    <xf numFmtId="0" fontId="3" fillId="10" borderId="11" xfId="0" applyFont="1" applyFill="1" applyBorder="1" applyAlignment="1" applyProtection="1">
      <alignment vertical="top" wrapText="1"/>
    </xf>
    <xf numFmtId="0" fontId="3" fillId="9" borderId="12" xfId="0" applyFont="1" applyFill="1" applyBorder="1" applyProtection="1"/>
    <xf numFmtId="0" fontId="3" fillId="9" borderId="0" xfId="0" applyFont="1" applyFill="1" applyProtection="1"/>
    <xf numFmtId="0" fontId="3" fillId="9" borderId="10" xfId="0" applyFont="1" applyFill="1" applyBorder="1" applyProtection="1"/>
    <xf numFmtId="0" fontId="3" fillId="10" borderId="11" xfId="0" applyFont="1" applyFill="1" applyBorder="1" applyProtection="1"/>
    <xf numFmtId="0" fontId="3" fillId="9" borderId="0" xfId="0" applyFont="1" applyFill="1" applyBorder="1" applyProtection="1"/>
    <xf numFmtId="0" fontId="3" fillId="10" borderId="10" xfId="0" applyFont="1" applyFill="1" applyBorder="1" applyProtection="1"/>
    <xf numFmtId="0" fontId="3" fillId="8" borderId="0" xfId="0" applyFont="1" applyFill="1" applyProtection="1"/>
    <xf numFmtId="0" fontId="3" fillId="9" borderId="11" xfId="0" applyFont="1" applyFill="1" applyBorder="1" applyProtection="1"/>
    <xf numFmtId="10" fontId="3" fillId="9" borderId="10" xfId="2" applyNumberFormat="1" applyFont="1" applyFill="1" applyBorder="1" applyAlignment="1" applyProtection="1">
      <alignment horizontal="center" wrapText="1"/>
    </xf>
    <xf numFmtId="10" fontId="3" fillId="10" borderId="11" xfId="2" applyNumberFormat="1" applyFont="1" applyFill="1" applyBorder="1" applyAlignment="1" applyProtection="1">
      <alignment horizontal="center"/>
      <protection locked="0"/>
    </xf>
    <xf numFmtId="0" fontId="3" fillId="9" borderId="11" xfId="0" applyFont="1" applyFill="1" applyBorder="1" applyAlignment="1" applyProtection="1">
      <alignment vertical="top"/>
    </xf>
    <xf numFmtId="10" fontId="3" fillId="10" borderId="11" xfId="2" applyNumberFormat="1" applyFont="1" applyFill="1" applyBorder="1" applyAlignment="1" applyProtection="1">
      <alignment horizontal="center" vertical="top"/>
      <protection locked="0"/>
    </xf>
    <xf numFmtId="0" fontId="0" fillId="10" borderId="0" xfId="0" applyFill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0" fillId="9" borderId="0" xfId="0" applyFill="1" applyAlignment="1" applyProtection="1">
      <alignment horizontal="center"/>
      <protection locked="0"/>
    </xf>
    <xf numFmtId="0" fontId="0" fillId="9" borderId="0" xfId="0" applyFill="1" applyProtection="1">
      <protection locked="0"/>
    </xf>
    <xf numFmtId="0" fontId="0" fillId="9" borderId="0" xfId="0" applyFill="1" applyBorder="1" applyProtection="1">
      <protection locked="0"/>
    </xf>
    <xf numFmtId="0" fontId="0" fillId="9" borderId="11" xfId="0" applyFill="1" applyBorder="1" applyAlignment="1" applyProtection="1">
      <alignment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0" fillId="9" borderId="11" xfId="0" applyFill="1" applyBorder="1" applyAlignment="1" applyProtection="1">
      <alignment horizontal="center" vertical="center"/>
      <protection locked="0"/>
    </xf>
    <xf numFmtId="0" fontId="0" fillId="8" borderId="11" xfId="0" applyFill="1" applyBorder="1" applyProtection="1">
      <protection locked="0"/>
    </xf>
    <xf numFmtId="0" fontId="26" fillId="9" borderId="0" xfId="0" applyFont="1" applyFill="1" applyBorder="1" applyAlignment="1" applyProtection="1">
      <alignment vertical="top" wrapText="1"/>
      <protection locked="0"/>
    </xf>
    <xf numFmtId="9" fontId="0" fillId="8" borderId="11" xfId="0" applyNumberFormat="1" applyFill="1" applyBorder="1" applyAlignment="1" applyProtection="1">
      <alignment horizontal="center" vertical="center"/>
      <protection locked="0"/>
    </xf>
    <xf numFmtId="0" fontId="26" fillId="9" borderId="0" xfId="0" applyFont="1" applyFill="1" applyBorder="1" applyAlignment="1" applyProtection="1">
      <alignment horizontal="left" vertical="top"/>
      <protection locked="0"/>
    </xf>
    <xf numFmtId="0" fontId="0" fillId="8" borderId="0" xfId="0" applyFill="1" applyAlignment="1" applyProtection="1">
      <alignment horizontal="center" vertical="center"/>
      <protection locked="0"/>
    </xf>
    <xf numFmtId="0" fontId="0" fillId="8" borderId="0" xfId="0" applyFill="1" applyAlignment="1" applyProtection="1">
      <alignment vertical="center"/>
      <protection locked="0"/>
    </xf>
    <xf numFmtId="0" fontId="0" fillId="8" borderId="0" xfId="0" applyFill="1" applyProtection="1">
      <protection locked="0"/>
    </xf>
    <xf numFmtId="0" fontId="0" fillId="9" borderId="10" xfId="0" applyFill="1" applyBorder="1" applyAlignment="1" applyProtection="1">
      <alignment vertical="center"/>
      <protection locked="0"/>
    </xf>
    <xf numFmtId="164" fontId="0" fillId="8" borderId="10" xfId="1" applyFont="1" applyFill="1" applyBorder="1" applyAlignment="1" applyProtection="1">
      <alignment horizontal="center" vertical="center"/>
      <protection locked="0"/>
    </xf>
    <xf numFmtId="0" fontId="0" fillId="8" borderId="10" xfId="0" applyFill="1" applyBorder="1" applyProtection="1">
      <protection locked="0"/>
    </xf>
    <xf numFmtId="0" fontId="26" fillId="9" borderId="0" xfId="0" applyFont="1" applyFill="1" applyBorder="1" applyProtection="1">
      <protection locked="0"/>
    </xf>
    <xf numFmtId="164" fontId="0" fillId="8" borderId="11" xfId="1" applyFont="1" applyFill="1" applyBorder="1" applyAlignment="1" applyProtection="1">
      <alignment horizontal="center" vertical="center"/>
      <protection locked="0"/>
    </xf>
    <xf numFmtId="10" fontId="0" fillId="9" borderId="11" xfId="0" applyNumberFormat="1" applyFill="1" applyBorder="1" applyAlignment="1" applyProtection="1">
      <alignment vertical="center"/>
      <protection locked="0"/>
    </xf>
    <xf numFmtId="164" fontId="5" fillId="8" borderId="12" xfId="0" applyNumberFormat="1" applyFont="1" applyFill="1" applyBorder="1" applyAlignment="1" applyProtection="1">
      <alignment horizontal="center" vertical="center"/>
      <protection locked="0"/>
    </xf>
    <xf numFmtId="10" fontId="5" fillId="9" borderId="12" xfId="0" applyNumberFormat="1" applyFont="1" applyFill="1" applyBorder="1" applyAlignment="1" applyProtection="1">
      <alignment vertical="center"/>
      <protection locked="0"/>
    </xf>
    <xf numFmtId="0" fontId="0" fillId="8" borderId="12" xfId="0" applyFill="1" applyBorder="1" applyProtection="1">
      <protection locked="0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ill="1" applyAlignment="1" applyProtection="1">
      <alignment horizontal="center" vertical="center"/>
      <protection locked="0"/>
    </xf>
    <xf numFmtId="10" fontId="0" fillId="9" borderId="0" xfId="0" applyNumberFormat="1" applyFill="1" applyAlignment="1" applyProtection="1">
      <alignment vertical="center"/>
      <protection locked="0"/>
    </xf>
    <xf numFmtId="10" fontId="0" fillId="9" borderId="10" xfId="0" applyNumberFormat="1" applyFill="1" applyBorder="1" applyAlignment="1" applyProtection="1">
      <alignment vertical="center"/>
      <protection locked="0"/>
    </xf>
    <xf numFmtId="10" fontId="0" fillId="9" borderId="12" xfId="0" applyNumberFormat="1" applyFill="1" applyBorder="1" applyAlignment="1" applyProtection="1">
      <alignment vertical="center"/>
      <protection locked="0"/>
    </xf>
    <xf numFmtId="0" fontId="26" fillId="9" borderId="0" xfId="0" applyFont="1" applyFill="1" applyBorder="1" applyAlignment="1" applyProtection="1">
      <alignment wrapText="1"/>
      <protection locked="0"/>
    </xf>
    <xf numFmtId="164" fontId="5" fillId="8" borderId="0" xfId="0" applyNumberFormat="1" applyFont="1" applyFill="1" applyBorder="1" applyAlignment="1" applyProtection="1">
      <alignment horizontal="center" vertical="center"/>
      <protection locked="0"/>
    </xf>
    <xf numFmtId="10" fontId="5" fillId="9" borderId="0" xfId="2" applyNumberFormat="1" applyFont="1" applyFill="1" applyBorder="1" applyAlignment="1" applyProtection="1">
      <alignment vertical="center"/>
      <protection locked="0"/>
    </xf>
    <xf numFmtId="0" fontId="0" fillId="8" borderId="0" xfId="0" applyFill="1" applyBorder="1" applyProtection="1">
      <protection locked="0"/>
    </xf>
    <xf numFmtId="164" fontId="5" fillId="8" borderId="0" xfId="0" applyNumberFormat="1" applyFont="1" applyFill="1" applyAlignment="1" applyProtection="1">
      <alignment horizontal="center" vertical="center"/>
      <protection locked="0"/>
    </xf>
    <xf numFmtId="164" fontId="5" fillId="8" borderId="0" xfId="1" applyFont="1" applyFill="1" applyBorder="1" applyAlignment="1" applyProtection="1">
      <alignment horizontal="center" vertical="center"/>
      <protection locked="0"/>
    </xf>
    <xf numFmtId="0" fontId="0" fillId="9" borderId="0" xfId="0" applyFill="1" applyBorder="1" applyAlignment="1" applyProtection="1">
      <alignment vertical="center"/>
      <protection locked="0"/>
    </xf>
    <xf numFmtId="0" fontId="0" fillId="8" borderId="0" xfId="0" applyFill="1" applyBorder="1" applyAlignment="1" applyProtection="1">
      <alignment horizontal="center" vertical="center"/>
      <protection locked="0"/>
    </xf>
    <xf numFmtId="0" fontId="0" fillId="9" borderId="0" xfId="0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 applyProtection="1">
      <alignment vertical="top"/>
      <protection locked="0"/>
    </xf>
    <xf numFmtId="0" fontId="0" fillId="9" borderId="0" xfId="0" applyFill="1" applyAlignment="1" applyProtection="1">
      <alignment vertical="top"/>
      <protection locked="0"/>
    </xf>
    <xf numFmtId="164" fontId="5" fillId="8" borderId="0" xfId="1" applyFont="1" applyFill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164" fontId="0" fillId="8" borderId="0" xfId="0" applyNumberFormat="1" applyFill="1" applyBorder="1" applyAlignment="1" applyProtection="1">
      <alignment horizontal="center" vertical="center"/>
      <protection locked="0"/>
    </xf>
    <xf numFmtId="10" fontId="0" fillId="9" borderId="0" xfId="2" applyNumberFormat="1" applyFont="1" applyFill="1" applyBorder="1" applyAlignment="1" applyProtection="1">
      <alignment vertical="center"/>
      <protection locked="0"/>
    </xf>
    <xf numFmtId="164" fontId="0" fillId="9" borderId="0" xfId="0" applyNumberFormat="1" applyFill="1" applyBorder="1" applyAlignment="1" applyProtection="1">
      <alignment horizontal="center" vertical="center"/>
      <protection locked="0"/>
    </xf>
    <xf numFmtId="164" fontId="0" fillId="8" borderId="10" xfId="0" applyNumberFormat="1" applyFill="1" applyBorder="1" applyAlignment="1" applyProtection="1">
      <alignment horizontal="center" vertical="center"/>
      <protection locked="0"/>
    </xf>
    <xf numFmtId="14" fontId="0" fillId="10" borderId="10" xfId="0" applyNumberFormat="1" applyFill="1" applyBorder="1" applyProtection="1"/>
    <xf numFmtId="14" fontId="3" fillId="10" borderId="10" xfId="0" applyNumberFormat="1" applyFont="1" applyFill="1" applyBorder="1" applyAlignment="1" applyProtection="1">
      <alignment wrapText="1"/>
    </xf>
    <xf numFmtId="9" fontId="3" fillId="10" borderId="11" xfId="0" applyNumberFormat="1" applyFont="1" applyFill="1" applyBorder="1" applyAlignment="1" applyProtection="1">
      <alignment horizontal="left" vertical="top" wrapText="1"/>
    </xf>
    <xf numFmtId="0" fontId="3" fillId="10" borderId="10" xfId="0" applyFont="1" applyFill="1" applyBorder="1" applyAlignment="1" applyProtection="1">
      <alignment vertical="top" wrapText="1"/>
    </xf>
    <xf numFmtId="0" fontId="3" fillId="10" borderId="10" xfId="0" applyFont="1" applyFill="1" applyBorder="1" applyAlignment="1" applyProtection="1">
      <alignment wrapText="1"/>
    </xf>
    <xf numFmtId="0" fontId="0" fillId="9" borderId="11" xfId="0" applyFill="1" applyBorder="1" applyAlignment="1" applyProtection="1">
      <alignment horizontal="center"/>
    </xf>
    <xf numFmtId="164" fontId="0" fillId="9" borderId="10" xfId="0" applyNumberFormat="1" applyFill="1" applyBorder="1" applyProtection="1"/>
    <xf numFmtId="164" fontId="0" fillId="9" borderId="11" xfId="0" applyNumberFormat="1" applyFill="1" applyBorder="1" applyProtection="1"/>
    <xf numFmtId="10" fontId="0" fillId="9" borderId="10" xfId="2" applyNumberFormat="1" applyFont="1" applyFill="1" applyBorder="1" applyProtection="1"/>
    <xf numFmtId="164" fontId="0" fillId="9" borderId="11" xfId="1" applyFont="1" applyFill="1" applyBorder="1" applyProtection="1"/>
    <xf numFmtId="10" fontId="5" fillId="8" borderId="0" xfId="2" applyNumberFormat="1" applyFont="1" applyFill="1" applyProtection="1"/>
    <xf numFmtId="10" fontId="0" fillId="9" borderId="10" xfId="0" applyNumberFormat="1" applyFill="1" applyBorder="1" applyProtection="1"/>
    <xf numFmtId="10" fontId="5" fillId="7" borderId="0" xfId="0" applyNumberFormat="1" applyFont="1" applyFill="1" applyProtection="1"/>
    <xf numFmtId="0" fontId="24" fillId="9" borderId="0" xfId="30" applyFill="1" applyProtection="1">
      <protection locked="0"/>
    </xf>
    <xf numFmtId="0" fontId="27" fillId="9" borderId="0" xfId="30" applyFont="1" applyFill="1" applyAlignment="1" applyProtection="1">
      <alignment vertical="top" wrapText="1"/>
      <protection locked="0"/>
    </xf>
    <xf numFmtId="0" fontId="24" fillId="9" borderId="0" xfId="30" applyFill="1" applyProtection="1"/>
    <xf numFmtId="164" fontId="9" fillId="7" borderId="0" xfId="0" applyNumberFormat="1" applyFont="1" applyFill="1" applyBorder="1" applyAlignment="1" applyProtection="1">
      <alignment horizontal="center" wrapText="1"/>
    </xf>
    <xf numFmtId="164" fontId="9" fillId="7" borderId="0" xfId="0" applyNumberFormat="1" applyFont="1" applyFill="1" applyBorder="1" applyAlignment="1" applyProtection="1">
      <alignment horizontal="left" wrapText="1"/>
    </xf>
    <xf numFmtId="10" fontId="3" fillId="9" borderId="10" xfId="2" applyNumberFormat="1" applyFont="1" applyFill="1" applyBorder="1" applyAlignment="1" applyProtection="1">
      <alignment horizontal="center"/>
    </xf>
    <xf numFmtId="10" fontId="3" fillId="9" borderId="11" xfId="2" applyNumberFormat="1" applyFont="1" applyFill="1" applyBorder="1" applyAlignment="1" applyProtection="1">
      <alignment horizontal="left" wrapText="1"/>
    </xf>
    <xf numFmtId="10" fontId="3" fillId="9" borderId="11" xfId="2" applyNumberFormat="1" applyFont="1" applyFill="1" applyBorder="1" applyAlignment="1" applyProtection="1">
      <alignment horizontal="center"/>
    </xf>
    <xf numFmtId="10" fontId="3" fillId="9" borderId="11" xfId="2" applyNumberFormat="1" applyFont="1" applyFill="1" applyBorder="1" applyAlignment="1" applyProtection="1">
      <alignment horizontal="center" vertical="top"/>
    </xf>
    <xf numFmtId="0" fontId="3" fillId="9" borderId="0" xfId="30" applyFont="1" applyFill="1" applyProtection="1"/>
    <xf numFmtId="0" fontId="15" fillId="0" borderId="0" xfId="5" applyFont="1" applyFill="1" applyBorder="1" applyAlignment="1" applyProtection="1">
      <alignment horizontal="left" vertical="top"/>
      <protection locked="0"/>
    </xf>
    <xf numFmtId="44" fontId="15" fillId="0" borderId="0" xfId="6" applyFont="1" applyFill="1" applyBorder="1" applyAlignment="1" applyProtection="1">
      <alignment horizontal="left" vertical="top"/>
      <protection locked="0"/>
    </xf>
    <xf numFmtId="0" fontId="15" fillId="0" borderId="0" xfId="5" applyFont="1" applyFill="1" applyBorder="1" applyAlignment="1" applyProtection="1">
      <alignment horizontal="left" vertical="top" wrapText="1"/>
      <protection locked="0"/>
    </xf>
    <xf numFmtId="44" fontId="15" fillId="11" borderId="1" xfId="6" applyFont="1" applyFill="1" applyBorder="1" applyAlignment="1" applyProtection="1">
      <alignment horizontal="left" vertical="top"/>
      <protection locked="0"/>
    </xf>
    <xf numFmtId="0" fontId="15" fillId="0" borderId="0" xfId="5" applyFont="1" applyFill="1" applyBorder="1" applyAlignment="1" applyProtection="1">
      <alignment horizontal="left" vertical="top"/>
    </xf>
    <xf numFmtId="0" fontId="16" fillId="2" borderId="0" xfId="5" applyFont="1" applyFill="1" applyBorder="1" applyAlignment="1" applyProtection="1">
      <alignment horizontal="left" vertical="top"/>
    </xf>
    <xf numFmtId="0" fontId="15" fillId="2" borderId="0" xfId="5" applyFont="1" applyFill="1" applyBorder="1" applyAlignment="1" applyProtection="1">
      <alignment horizontal="left" vertical="top"/>
    </xf>
    <xf numFmtId="44" fontId="15" fillId="0" borderId="0" xfId="6" applyFont="1" applyFill="1" applyBorder="1" applyAlignment="1" applyProtection="1">
      <alignment horizontal="left" vertical="top"/>
    </xf>
    <xf numFmtId="0" fontId="16" fillId="0" borderId="0" xfId="5" applyFont="1" applyFill="1" applyBorder="1" applyAlignment="1" applyProtection="1">
      <alignment horizontal="left" vertical="top"/>
    </xf>
    <xf numFmtId="44" fontId="16" fillId="0" borderId="0" xfId="6" applyFont="1" applyFill="1" applyBorder="1" applyAlignment="1" applyProtection="1">
      <alignment horizontal="right" vertical="top"/>
    </xf>
    <xf numFmtId="0" fontId="17" fillId="4" borderId="1" xfId="5" applyFont="1" applyFill="1" applyBorder="1" applyAlignment="1" applyProtection="1">
      <alignment horizontal="left" vertical="top"/>
    </xf>
    <xf numFmtId="0" fontId="16" fillId="0" borderId="1" xfId="5" applyFont="1" applyFill="1" applyBorder="1" applyAlignment="1" applyProtection="1">
      <alignment horizontal="left" vertical="top"/>
    </xf>
    <xf numFmtId="0" fontId="17" fillId="4" borderId="1" xfId="5" applyFont="1" applyFill="1" applyBorder="1" applyAlignment="1" applyProtection="1">
      <alignment horizontal="left" vertical="top" wrapText="1"/>
    </xf>
    <xf numFmtId="0" fontId="17" fillId="3" borderId="1" xfId="5" applyFont="1" applyFill="1" applyBorder="1" applyAlignment="1" applyProtection="1">
      <alignment horizontal="left" vertical="top" wrapText="1"/>
    </xf>
    <xf numFmtId="49" fontId="17" fillId="3" borderId="1" xfId="6" applyNumberFormat="1" applyFont="1" applyFill="1" applyBorder="1" applyAlignment="1" applyProtection="1">
      <alignment vertical="top" wrapText="1"/>
    </xf>
    <xf numFmtId="44" fontId="17" fillId="3" borderId="1" xfId="6" applyFont="1" applyFill="1" applyBorder="1" applyAlignment="1" applyProtection="1">
      <alignment vertical="top" wrapText="1"/>
    </xf>
    <xf numFmtId="165" fontId="15" fillId="0" borderId="1" xfId="5" applyNumberFormat="1" applyFont="1" applyFill="1" applyBorder="1" applyAlignment="1" applyProtection="1">
      <alignment horizontal="left" vertical="top" wrapText="1"/>
    </xf>
    <xf numFmtId="44" fontId="15" fillId="0" borderId="1" xfId="6" applyFont="1" applyFill="1" applyBorder="1" applyAlignment="1" applyProtection="1">
      <alignment horizontal="left" vertical="top"/>
    </xf>
    <xf numFmtId="44" fontId="15" fillId="0" borderId="1" xfId="6" applyFont="1" applyFill="1" applyBorder="1" applyAlignment="1" applyProtection="1">
      <alignment horizontal="left" vertical="top" wrapText="1"/>
    </xf>
    <xf numFmtId="0" fontId="15" fillId="0" borderId="2" xfId="5" applyFont="1" applyFill="1" applyBorder="1" applyAlignment="1" applyProtection="1">
      <alignment horizontal="left" vertical="top" wrapText="1"/>
    </xf>
    <xf numFmtId="44" fontId="15" fillId="0" borderId="0" xfId="6" applyFont="1" applyFill="1" applyBorder="1" applyAlignment="1" applyProtection="1">
      <alignment vertical="top" wrapText="1"/>
    </xf>
    <xf numFmtId="0" fontId="15" fillId="0" borderId="0" xfId="5" applyFont="1" applyFill="1" applyBorder="1" applyAlignment="1" applyProtection="1">
      <alignment horizontal="left" vertical="top" wrapText="1"/>
    </xf>
    <xf numFmtId="0" fontId="18" fillId="0" borderId="1" xfId="5" applyFont="1" applyFill="1" applyBorder="1" applyAlignment="1" applyProtection="1">
      <alignment horizontal="left" vertical="top" wrapText="1"/>
    </xf>
    <xf numFmtId="44" fontId="15" fillId="0" borderId="1" xfId="6" applyFont="1" applyFill="1" applyBorder="1" applyAlignment="1" applyProtection="1">
      <alignment vertical="top" wrapText="1"/>
    </xf>
    <xf numFmtId="165" fontId="15" fillId="0" borderId="0" xfId="5" applyNumberFormat="1" applyFont="1" applyFill="1" applyBorder="1" applyAlignment="1" applyProtection="1">
      <alignment horizontal="left" vertical="top" wrapText="1"/>
    </xf>
    <xf numFmtId="0" fontId="18" fillId="0" borderId="3" xfId="5" applyFont="1" applyFill="1" applyBorder="1" applyAlignment="1" applyProtection="1">
      <alignment horizontal="left" vertical="top" wrapText="1"/>
    </xf>
    <xf numFmtId="44" fontId="15" fillId="0" borderId="4" xfId="6" applyFont="1" applyFill="1" applyBorder="1" applyAlignment="1" applyProtection="1">
      <alignment horizontal="left" vertical="top" wrapText="1"/>
    </xf>
    <xf numFmtId="0" fontId="18" fillId="0" borderId="5" xfId="5" applyFont="1" applyFill="1" applyBorder="1" applyAlignment="1" applyProtection="1">
      <alignment horizontal="left" vertical="top" wrapText="1"/>
    </xf>
    <xf numFmtId="44" fontId="15" fillId="0" borderId="6" xfId="6" applyFont="1" applyFill="1" applyBorder="1" applyAlignment="1" applyProtection="1">
      <alignment horizontal="left" vertical="top" wrapText="1"/>
    </xf>
    <xf numFmtId="165" fontId="15" fillId="0" borderId="5" xfId="5" applyNumberFormat="1" applyFont="1" applyFill="1" applyBorder="1" applyAlignment="1" applyProtection="1">
      <alignment horizontal="left" vertical="top" wrapText="1"/>
    </xf>
    <xf numFmtId="44" fontId="15" fillId="0" borderId="0" xfId="5" applyNumberFormat="1" applyFont="1" applyFill="1" applyBorder="1" applyAlignment="1" applyProtection="1">
      <alignment horizontal="left" vertical="top"/>
    </xf>
    <xf numFmtId="9" fontId="15" fillId="0" borderId="0" xfId="7" applyFont="1" applyFill="1" applyBorder="1" applyAlignment="1" applyProtection="1">
      <alignment horizontal="left" vertical="top"/>
    </xf>
    <xf numFmtId="166" fontId="15" fillId="0" borderId="0" xfId="7" applyNumberFormat="1" applyFont="1" applyFill="1" applyBorder="1" applyAlignment="1" applyProtection="1">
      <alignment horizontal="left" vertical="top"/>
    </xf>
    <xf numFmtId="0" fontId="17" fillId="4" borderId="0" xfId="5" applyFont="1" applyFill="1" applyBorder="1" applyAlignment="1" applyProtection="1">
      <alignment horizontal="left" vertical="top" wrapText="1"/>
    </xf>
    <xf numFmtId="0" fontId="17" fillId="3" borderId="0" xfId="5" applyFont="1" applyFill="1" applyBorder="1" applyAlignment="1" applyProtection="1">
      <alignment horizontal="left" vertical="top" wrapText="1"/>
    </xf>
    <xf numFmtId="44" fontId="17" fillId="3" borderId="0" xfId="6" applyFont="1" applyFill="1" applyBorder="1" applyAlignment="1" applyProtection="1">
      <alignment vertical="top" wrapText="1"/>
    </xf>
    <xf numFmtId="0" fontId="17" fillId="4" borderId="1" xfId="8" applyFont="1" applyFill="1" applyBorder="1" applyAlignment="1" applyProtection="1">
      <alignment horizontal="left" vertical="top" wrapText="1"/>
    </xf>
    <xf numFmtId="0" fontId="17" fillId="3" borderId="1" xfId="8" applyFont="1" applyFill="1" applyBorder="1" applyAlignment="1" applyProtection="1">
      <alignment horizontal="left" vertical="top" wrapText="1"/>
    </xf>
    <xf numFmtId="44" fontId="17" fillId="3" borderId="7" xfId="6" applyFont="1" applyFill="1" applyBorder="1" applyAlignment="1" applyProtection="1">
      <alignment horizontal="left" vertical="top" wrapText="1"/>
    </xf>
    <xf numFmtId="0" fontId="18" fillId="0" borderId="1" xfId="8" applyFont="1" applyFill="1" applyBorder="1" applyAlignment="1" applyProtection="1">
      <alignment horizontal="left" vertical="top" wrapText="1"/>
    </xf>
    <xf numFmtId="165" fontId="15" fillId="0" borderId="1" xfId="8" applyNumberFormat="1" applyFont="1" applyFill="1" applyBorder="1" applyAlignment="1" applyProtection="1">
      <alignment horizontal="left" vertical="top" wrapText="1"/>
    </xf>
    <xf numFmtId="0" fontId="17" fillId="3" borderId="8" xfId="8" applyFont="1" applyFill="1" applyBorder="1" applyAlignment="1" applyProtection="1">
      <alignment horizontal="left" vertical="top" wrapText="1"/>
    </xf>
    <xf numFmtId="0" fontId="18" fillId="0" borderId="3" xfId="8" applyFont="1" applyFill="1" applyBorder="1" applyAlignment="1" applyProtection="1">
      <alignment horizontal="left" vertical="top" wrapText="1"/>
    </xf>
    <xf numFmtId="0" fontId="18" fillId="0" borderId="5" xfId="8" applyFont="1" applyFill="1" applyBorder="1" applyAlignment="1" applyProtection="1">
      <alignment horizontal="left" vertical="top" wrapText="1"/>
    </xf>
    <xf numFmtId="165" fontId="15" fillId="0" borderId="5" xfId="8" applyNumberFormat="1" applyFont="1" applyFill="1" applyBorder="1" applyAlignment="1" applyProtection="1">
      <alignment horizontal="left" vertical="top" wrapText="1"/>
    </xf>
    <xf numFmtId="14" fontId="15" fillId="0" borderId="0" xfId="5" applyNumberFormat="1" applyFont="1" applyFill="1" applyBorder="1" applyAlignment="1" applyProtection="1">
      <alignment horizontal="left" vertical="top"/>
    </xf>
    <xf numFmtId="14" fontId="16" fillId="0" borderId="0" xfId="5" applyNumberFormat="1" applyFont="1" applyFill="1" applyBorder="1" applyAlignment="1" applyProtection="1">
      <alignment horizontal="left" vertical="top"/>
    </xf>
    <xf numFmtId="0" fontId="15" fillId="5" borderId="0" xfId="5" applyFont="1" applyFill="1" applyBorder="1" applyAlignment="1" applyProtection="1">
      <alignment horizontal="left" vertical="top"/>
    </xf>
    <xf numFmtId="0" fontId="15" fillId="0" borderId="1" xfId="5" applyFont="1" applyFill="1" applyBorder="1" applyAlignment="1" applyProtection="1">
      <alignment horizontal="left" vertical="top"/>
    </xf>
    <xf numFmtId="0" fontId="16" fillId="0" borderId="1" xfId="9" applyFont="1" applyBorder="1" applyAlignment="1" applyProtection="1">
      <alignment horizontal="left" vertical="top" wrapText="1"/>
    </xf>
    <xf numFmtId="49" fontId="17" fillId="0" borderId="1" xfId="10" applyNumberFormat="1" applyFont="1" applyBorder="1" applyAlignment="1" applyProtection="1">
      <alignment horizontal="left" vertical="center" wrapText="1" indent="1"/>
    </xf>
    <xf numFmtId="0" fontId="15" fillId="0" borderId="1" xfId="5" applyFont="1" applyFill="1" applyBorder="1" applyAlignment="1" applyProtection="1">
      <alignment horizontal="left" vertical="top" wrapText="1"/>
    </xf>
    <xf numFmtId="1" fontId="18" fillId="0" borderId="1" xfId="9" applyNumberFormat="1" applyFont="1" applyBorder="1" applyAlignment="1" applyProtection="1">
      <alignment horizontal="right" vertical="center" wrapText="1" indent="1"/>
    </xf>
    <xf numFmtId="44" fontId="18" fillId="0" borderId="1" xfId="10" applyFont="1" applyBorder="1" applyAlignment="1" applyProtection="1">
      <alignment horizontal="center" vertical="center" wrapText="1"/>
    </xf>
    <xf numFmtId="44" fontId="15" fillId="6" borderId="1" xfId="9" applyNumberFormat="1" applyFont="1" applyFill="1" applyBorder="1" applyProtection="1"/>
    <xf numFmtId="44" fontId="15" fillId="5" borderId="0" xfId="5" applyNumberFormat="1" applyFont="1" applyFill="1" applyBorder="1" applyAlignment="1" applyProtection="1">
      <alignment horizontal="left" vertical="top"/>
    </xf>
    <xf numFmtId="44" fontId="15" fillId="0" borderId="1" xfId="5" applyNumberFormat="1" applyFont="1" applyFill="1" applyBorder="1" applyAlignment="1" applyProtection="1">
      <alignment horizontal="left" vertical="top"/>
    </xf>
    <xf numFmtId="44" fontId="15" fillId="6" borderId="1" xfId="5" applyNumberFormat="1" applyFont="1" applyFill="1" applyBorder="1" applyAlignment="1" applyProtection="1">
      <alignment horizontal="left" vertical="top"/>
    </xf>
    <xf numFmtId="44" fontId="15" fillId="0" borderId="1" xfId="9" applyNumberFormat="1" applyFont="1" applyBorder="1" applyProtection="1"/>
    <xf numFmtId="0" fontId="15" fillId="0" borderId="0" xfId="9" applyFont="1" applyBorder="1" applyProtection="1"/>
    <xf numFmtId="44" fontId="6" fillId="0" borderId="0" xfId="10" applyFont="1" applyBorder="1" applyProtection="1"/>
    <xf numFmtId="0" fontId="16" fillId="0" borderId="0" xfId="9" applyFont="1" applyBorder="1" applyProtection="1"/>
    <xf numFmtId="44" fontId="16" fillId="0" borderId="0" xfId="10" applyFont="1" applyBorder="1" applyProtection="1"/>
    <xf numFmtId="0" fontId="20" fillId="0" borderId="1" xfId="5" applyFont="1" applyFill="1" applyBorder="1" applyAlignment="1" applyProtection="1">
      <alignment horizontal="left" vertical="top" wrapText="1"/>
    </xf>
    <xf numFmtId="1" fontId="18" fillId="0" borderId="9" xfId="9" applyNumberFormat="1" applyFont="1" applyBorder="1" applyAlignment="1" applyProtection="1">
      <alignment horizontal="right" vertical="center" wrapText="1" indent="1"/>
    </xf>
    <xf numFmtId="44" fontId="18" fillId="0" borderId="9" xfId="10" applyFont="1" applyBorder="1" applyAlignment="1" applyProtection="1">
      <alignment horizontal="center" vertical="center" wrapText="1"/>
    </xf>
    <xf numFmtId="44" fontId="6" fillId="5" borderId="0" xfId="10" applyFont="1" applyFill="1" applyBorder="1" applyProtection="1"/>
    <xf numFmtId="44" fontId="16" fillId="5" borderId="0" xfId="10" applyFont="1" applyFill="1" applyBorder="1" applyProtection="1"/>
    <xf numFmtId="0" fontId="16" fillId="0" borderId="1" xfId="5" applyFont="1" applyFill="1" applyBorder="1" applyAlignment="1" applyProtection="1">
      <alignment horizontal="left" vertical="top" wrapText="1"/>
    </xf>
    <xf numFmtId="44" fontId="16" fillId="0" borderId="1" xfId="6" applyFont="1" applyFill="1" applyBorder="1" applyAlignment="1" applyProtection="1">
      <alignment horizontal="left" vertical="top"/>
    </xf>
    <xf numFmtId="0" fontId="2" fillId="10" borderId="11" xfId="0" applyFont="1" applyFill="1" applyBorder="1" applyAlignment="1" applyProtection="1">
      <alignment wrapText="1"/>
    </xf>
    <xf numFmtId="164" fontId="12" fillId="7" borderId="0" xfId="0" applyNumberFormat="1" applyFont="1" applyFill="1" applyAlignment="1" applyProtection="1">
      <alignment horizontal="center" vertical="center"/>
    </xf>
    <xf numFmtId="0" fontId="12" fillId="7" borderId="10" xfId="0" applyFont="1" applyFill="1" applyBorder="1" applyAlignment="1" applyProtection="1">
      <alignment horizontal="center" vertical="center"/>
    </xf>
    <xf numFmtId="0" fontId="12" fillId="7" borderId="0" xfId="0" applyFont="1" applyFill="1" applyAlignment="1" applyProtection="1">
      <alignment horizontal="center"/>
      <protection locked="0"/>
    </xf>
    <xf numFmtId="0" fontId="5" fillId="9" borderId="10" xfId="0" applyFont="1" applyFill="1" applyBorder="1" applyAlignment="1" applyProtection="1">
      <alignment horizontal="center"/>
    </xf>
    <xf numFmtId="164" fontId="12" fillId="7" borderId="0" xfId="0" applyNumberFormat="1" applyFont="1" applyFill="1" applyAlignment="1">
      <alignment horizontal="center"/>
    </xf>
    <xf numFmtId="0" fontId="5" fillId="7" borderId="0" xfId="0" quotePrefix="1" applyFont="1" applyFill="1" applyBorder="1" applyAlignment="1" applyProtection="1">
      <alignment horizontal="left"/>
    </xf>
    <xf numFmtId="0" fontId="5" fillId="8" borderId="10" xfId="0" applyFont="1" applyFill="1" applyBorder="1" applyAlignment="1" applyProtection="1">
      <alignment horizontal="center"/>
    </xf>
  </cellXfs>
  <cellStyles count="33">
    <cellStyle name="Hyperlink" xfId="4" builtinId="8"/>
    <cellStyle name="Komma 2" xfId="32"/>
    <cellStyle name="Procent" xfId="2" builtinId="5"/>
    <cellStyle name="Procent 2" xfId="7"/>
    <cellStyle name="Procent 2 2" xfId="11"/>
    <cellStyle name="Procent 2 2 2" xfId="12"/>
    <cellStyle name="Procent 2 3" xfId="13"/>
    <cellStyle name="Procent 2 3 2" xfId="14"/>
    <cellStyle name="Procent 2 4" xfId="15"/>
    <cellStyle name="Procent 3" xfId="16"/>
    <cellStyle name="Procent 4" xfId="17"/>
    <cellStyle name="Stand. 2" xfId="8"/>
    <cellStyle name="Stand. 3" xfId="30"/>
    <cellStyle name="Standaard" xfId="0" builtinId="0"/>
    <cellStyle name="Standaard 2" xfId="3"/>
    <cellStyle name="Standaard 2 2" xfId="18"/>
    <cellStyle name="Standaard 2 2 2" xfId="19"/>
    <cellStyle name="Standaard 2 3" xfId="20"/>
    <cellStyle name="Standaard 2 3 2" xfId="21"/>
    <cellStyle name="Standaard 2 4" xfId="22"/>
    <cellStyle name="Standaard 2 4 2" xfId="23"/>
    <cellStyle name="Standaard 2 5" xfId="24"/>
    <cellStyle name="Standaard 3" xfId="25"/>
    <cellStyle name="Standaard 4" xfId="5"/>
    <cellStyle name="Standaard 5" xfId="9"/>
    <cellStyle name="Valuta" xfId="1" builtinId="4"/>
    <cellStyle name="Valuta 2" xfId="6"/>
    <cellStyle name="Valuta 2 2" xfId="26"/>
    <cellStyle name="Valuta 2 2 2" xfId="27"/>
    <cellStyle name="Valuta 3" xfId="28"/>
    <cellStyle name="Valuta 4" xfId="29"/>
    <cellStyle name="Valuta 5" xfId="10"/>
    <cellStyle name="Valuta 6" xfId="3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789214</xdr:colOff>
      <xdr:row>7</xdr:row>
      <xdr:rowOff>13608</xdr:rowOff>
    </xdr:from>
    <xdr:to>
      <xdr:col>23</xdr:col>
      <xdr:colOff>367393</xdr:colOff>
      <xdr:row>10</xdr:row>
      <xdr:rowOff>933309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2C3A052D-B9EC-4145-8AC9-F3ED85E3F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38964" y="3347358"/>
          <a:ext cx="3660322" cy="2117130"/>
        </a:xfrm>
        <a:prstGeom prst="rect">
          <a:avLst/>
        </a:prstGeom>
      </xdr:spPr>
    </xdr:pic>
    <xdr:clientData/>
  </xdr:twoCellAnchor>
  <xdr:twoCellAnchor editAs="oneCell">
    <xdr:from>
      <xdr:col>18</xdr:col>
      <xdr:colOff>802821</xdr:colOff>
      <xdr:row>4</xdr:row>
      <xdr:rowOff>381000</xdr:rowOff>
    </xdr:from>
    <xdr:to>
      <xdr:col>24</xdr:col>
      <xdr:colOff>482651</xdr:colOff>
      <xdr:row>6</xdr:row>
      <xdr:rowOff>653143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xmlns="" id="{4245450D-A78F-4763-93C5-694303C97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2571" y="1238250"/>
          <a:ext cx="4578401" cy="1415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abSelected="1" zoomScale="70" zoomScaleNormal="70" workbookViewId="0">
      <pane ySplit="3" topLeftCell="A19" activePane="bottomLeft" state="frozen"/>
      <selection pane="bottomLeft" activeCell="N38" sqref="N38"/>
    </sheetView>
  </sheetViews>
  <sheetFormatPr defaultColWidth="10.75" defaultRowHeight="15.75" x14ac:dyDescent="0.25"/>
  <cols>
    <col min="1" max="1" width="49.25" style="100" customWidth="1"/>
    <col min="2" max="2" width="0.75" style="99" customWidth="1"/>
    <col min="3" max="3" width="14" style="99" customWidth="1"/>
    <col min="4" max="4" width="0.75" style="203" customWidth="1"/>
    <col min="5" max="5" width="7.25" style="204" customWidth="1"/>
    <col min="6" max="6" width="0.75" style="203" customWidth="1"/>
    <col min="7" max="12" width="10.75" style="203"/>
    <col min="13" max="13" width="0.75" style="204" customWidth="1"/>
    <col min="14" max="14" width="74.75" style="100" customWidth="1"/>
    <col min="15" max="15" width="11.25" style="205" customWidth="1"/>
    <col min="16" max="18" width="0" style="204" hidden="1" customWidth="1"/>
    <col min="19" max="16384" width="10.75" style="204"/>
  </cols>
  <sheetData>
    <row r="1" spans="1:18" x14ac:dyDescent="0.25">
      <c r="A1" s="97" t="s">
        <v>0</v>
      </c>
      <c r="B1" s="98"/>
      <c r="C1" s="98"/>
      <c r="D1" s="201"/>
      <c r="E1" s="202"/>
      <c r="P1" s="204" t="s">
        <v>1</v>
      </c>
      <c r="Q1" s="204" t="s">
        <v>2</v>
      </c>
      <c r="R1" s="204" t="s">
        <v>3</v>
      </c>
    </row>
    <row r="2" spans="1:18" x14ac:dyDescent="0.25">
      <c r="P2" s="204">
        <v>0</v>
      </c>
      <c r="Q2" s="204" t="s">
        <v>4</v>
      </c>
      <c r="R2" s="204">
        <v>0</v>
      </c>
    </row>
    <row r="3" spans="1:18" s="102" customFormat="1" ht="18.75" x14ac:dyDescent="0.3">
      <c r="A3" s="120" t="s">
        <v>5</v>
      </c>
      <c r="B3" s="121"/>
      <c r="C3" s="121"/>
      <c r="D3" s="121"/>
      <c r="E3" s="120"/>
      <c r="F3" s="121"/>
      <c r="G3" s="342" t="s">
        <v>6</v>
      </c>
      <c r="H3" s="342"/>
      <c r="I3" s="342"/>
      <c r="J3" s="342"/>
      <c r="K3" s="342"/>
      <c r="L3" s="342"/>
      <c r="M3" s="101"/>
      <c r="N3" s="110" t="s">
        <v>7</v>
      </c>
      <c r="O3" s="180"/>
      <c r="P3" s="100">
        <v>1</v>
      </c>
      <c r="Q3" s="100" t="s">
        <v>8</v>
      </c>
      <c r="R3" s="100">
        <v>1</v>
      </c>
    </row>
    <row r="4" spans="1:18" x14ac:dyDescent="0.25">
      <c r="A4" s="122" t="s">
        <v>9</v>
      </c>
      <c r="B4" s="123"/>
      <c r="C4" s="124"/>
      <c r="D4" s="207"/>
      <c r="E4" s="206"/>
      <c r="F4" s="207"/>
      <c r="G4" s="208"/>
      <c r="H4" s="208"/>
      <c r="I4" s="208"/>
      <c r="J4" s="208"/>
      <c r="K4" s="208"/>
      <c r="L4" s="208"/>
      <c r="M4" s="209"/>
      <c r="N4" s="247" t="s">
        <v>10</v>
      </c>
      <c r="P4" s="204">
        <v>2</v>
      </c>
      <c r="Q4" s="204">
        <v>0</v>
      </c>
      <c r="R4" s="204">
        <v>2</v>
      </c>
    </row>
    <row r="5" spans="1:18" ht="45" x14ac:dyDescent="0.25">
      <c r="A5" s="122" t="s">
        <v>11</v>
      </c>
      <c r="B5" s="123"/>
      <c r="C5" s="124"/>
      <c r="D5" s="207"/>
      <c r="E5" s="206"/>
      <c r="F5" s="207"/>
      <c r="G5" s="177"/>
      <c r="H5" s="177"/>
      <c r="I5" s="177"/>
      <c r="J5" s="177"/>
      <c r="K5" s="177"/>
      <c r="L5" s="177"/>
      <c r="M5" s="209"/>
      <c r="N5" s="248" t="s">
        <v>12</v>
      </c>
      <c r="O5" s="210"/>
      <c r="P5" s="204">
        <v>3</v>
      </c>
      <c r="Q5" s="204">
        <v>1</v>
      </c>
      <c r="R5" s="204">
        <v>3</v>
      </c>
    </row>
    <row r="6" spans="1:18" ht="45" x14ac:dyDescent="0.25">
      <c r="A6" s="122" t="s">
        <v>13</v>
      </c>
      <c r="B6" s="123"/>
      <c r="C6" s="124"/>
      <c r="D6" s="207"/>
      <c r="E6" s="206"/>
      <c r="F6" s="207"/>
      <c r="G6" s="177"/>
      <c r="H6" s="177"/>
      <c r="I6" s="177"/>
      <c r="J6" s="177"/>
      <c r="K6" s="177"/>
      <c r="L6" s="177"/>
      <c r="M6" s="209"/>
      <c r="N6" s="248" t="s">
        <v>14</v>
      </c>
      <c r="O6" s="210"/>
      <c r="P6" s="204">
        <v>4</v>
      </c>
      <c r="Q6" s="204">
        <v>2</v>
      </c>
      <c r="R6" s="204">
        <v>4</v>
      </c>
    </row>
    <row r="7" spans="1:18" ht="105" x14ac:dyDescent="0.25">
      <c r="A7" s="122" t="s">
        <v>15</v>
      </c>
      <c r="B7" s="125"/>
      <c r="C7" s="124"/>
      <c r="D7" s="211"/>
      <c r="E7" s="206"/>
      <c r="F7" s="211"/>
      <c r="G7" s="176"/>
      <c r="H7" s="176"/>
      <c r="I7" s="176"/>
      <c r="J7" s="176"/>
      <c r="K7" s="176"/>
      <c r="L7" s="176"/>
      <c r="M7" s="209"/>
      <c r="N7" s="249" t="s">
        <v>16</v>
      </c>
      <c r="O7" s="212"/>
      <c r="Q7" s="204">
        <v>3</v>
      </c>
      <c r="R7" s="204">
        <v>5</v>
      </c>
    </row>
    <row r="8" spans="1:18" s="100" customFormat="1" ht="47.25" x14ac:dyDescent="0.25">
      <c r="A8" s="128"/>
      <c r="B8" s="105"/>
      <c r="C8" s="106" t="s">
        <v>17</v>
      </c>
      <c r="D8" s="105"/>
      <c r="E8" s="107" t="s">
        <v>18</v>
      </c>
      <c r="F8" s="105"/>
      <c r="G8" s="108"/>
      <c r="H8" s="108"/>
      <c r="I8" s="108"/>
      <c r="J8" s="108"/>
      <c r="K8" s="108"/>
      <c r="L8" s="108"/>
      <c r="M8" s="109"/>
      <c r="N8" s="110" t="s">
        <v>7</v>
      </c>
      <c r="O8" s="178"/>
      <c r="Q8" s="100">
        <v>4</v>
      </c>
    </row>
    <row r="9" spans="1:18" x14ac:dyDescent="0.25">
      <c r="A9" s="129" t="s">
        <v>19</v>
      </c>
      <c r="B9" s="105"/>
      <c r="C9" s="105"/>
      <c r="D9" s="213"/>
      <c r="E9" s="214"/>
      <c r="F9" s="213"/>
      <c r="G9" s="213"/>
      <c r="H9" s="213"/>
      <c r="I9" s="213"/>
      <c r="J9" s="213"/>
      <c r="K9" s="213"/>
      <c r="L9" s="213"/>
      <c r="M9" s="215"/>
      <c r="N9" s="103"/>
      <c r="Q9" s="204">
        <v>5</v>
      </c>
    </row>
    <row r="10" spans="1:18" ht="31.9" customHeight="1" x14ac:dyDescent="0.25">
      <c r="A10" s="130" t="s">
        <v>20</v>
      </c>
      <c r="B10" s="118"/>
      <c r="C10" s="131"/>
      <c r="D10" s="217"/>
      <c r="E10" s="216"/>
      <c r="F10" s="217"/>
      <c r="G10" s="119">
        <f>VLOOKUP(G$55,'VVT VGN HVschaal UURLONEN 17'!$A:$E,5,FALSE)</f>
        <v>0</v>
      </c>
      <c r="H10" s="119">
        <f>VLOOKUP(H$55,'VVT VGN HVschaal UURLONEN 17'!$A:$E,5,FALSE)</f>
        <v>0</v>
      </c>
      <c r="I10" s="119">
        <f>VLOOKUP(I$55,'VVT VGN HVschaal UURLONEN 17'!$A:$E,5,FALSE)</f>
        <v>0</v>
      </c>
      <c r="J10" s="119">
        <f>VLOOKUP(J$55,'VVT VGN HVschaal UURLONEN 17'!$A:$E,5,FALSE)</f>
        <v>0</v>
      </c>
      <c r="K10" s="119">
        <f>VLOOKUP(K$55,'VVT VGN HVschaal UURLONEN 17'!$A:$E,5,FALSE)</f>
        <v>0</v>
      </c>
      <c r="L10" s="119">
        <f>VLOOKUP(L$55,'VVT VGN HVschaal UURLONEN 17'!$A:$E,5,FALSE)</f>
        <v>0</v>
      </c>
      <c r="M10" s="218"/>
      <c r="N10" s="186" t="s">
        <v>21</v>
      </c>
      <c r="O10" s="219"/>
      <c r="Q10" s="204">
        <v>6</v>
      </c>
    </row>
    <row r="11" spans="1:18" ht="105" customHeight="1" x14ac:dyDescent="0.25">
      <c r="A11" s="122" t="s">
        <v>22</v>
      </c>
      <c r="B11" s="132"/>
      <c r="C11" s="124" t="s">
        <v>23</v>
      </c>
      <c r="D11" s="220"/>
      <c r="E11" s="133">
        <v>0.08</v>
      </c>
      <c r="F11" s="220"/>
      <c r="G11" s="134">
        <f>IF(G$10=0,0,IF((G$10*$E11)&gt;('VVT VGN HVschaal UURLONEN 17'!$F$163/1878),(G$10*$E11),('VVT VGN HVschaal UURLONEN 17'!$F$163/1878)))</f>
        <v>0</v>
      </c>
      <c r="H11" s="134">
        <f>IF(H$10=0,0,IF((H$10*$E11)&gt;('VVT VGN HVschaal UURLONEN 17'!$F$163/1878),(H$10*$E11),('VVT VGN HVschaal UURLONEN 17'!$F$163/1878)))</f>
        <v>0</v>
      </c>
      <c r="I11" s="134">
        <f>IF(I$10=0,0,IF((I$10*$E11)&gt;('VVT VGN HVschaal UURLONEN 17'!$F$163/1878),(I$10*$E11),('VVT VGN HVschaal UURLONEN 17'!$F$163/1878)))</f>
        <v>0</v>
      </c>
      <c r="J11" s="134">
        <f>IF(J$10=0,0,IF((J$10*$E11)&gt;('VVT VGN HVschaal UURLONEN 17'!$F$163/1878),(J$10*$E11),('VVT VGN HVschaal UURLONEN 17'!$F$163/1878)))</f>
        <v>0</v>
      </c>
      <c r="K11" s="134">
        <f>IF(K$10=0,0,IF((K$10*$E11)&gt;('VVT VGN HVschaal UURLONEN 17'!$F$163/1878),(K$10*$E11),('VVT VGN HVschaal UURLONEN 17'!$F$163/1878)))</f>
        <v>0</v>
      </c>
      <c r="L11" s="134">
        <f>IF(L$10=0,0,IF((L$10*$E11)&gt;('VVT VGN HVschaal UURLONEN 17'!$F$163/1878),(L$10*$E11),('VVT VGN HVschaal UURLONEN 17'!$F$163/1878)))</f>
        <v>0</v>
      </c>
      <c r="M11" s="209"/>
      <c r="N11" s="187" t="s">
        <v>24</v>
      </c>
      <c r="O11" s="210"/>
      <c r="Q11" s="204">
        <v>7</v>
      </c>
    </row>
    <row r="12" spans="1:18" ht="219" customHeight="1" x14ac:dyDescent="0.25">
      <c r="A12" s="122" t="s">
        <v>25</v>
      </c>
      <c r="B12" s="132"/>
      <c r="C12" s="124" t="s">
        <v>23</v>
      </c>
      <c r="D12" s="220"/>
      <c r="E12" s="141">
        <v>7.3999999999999996E-2</v>
      </c>
      <c r="F12" s="220"/>
      <c r="G12" s="134">
        <f t="shared" ref="G12:L12" si="0">IF(G$10=0,0,IF((G$10*$E12)&gt;$E12*12.66,(G$10*$E12),$E12*12.66))</f>
        <v>0</v>
      </c>
      <c r="H12" s="134">
        <f t="shared" si="0"/>
        <v>0</v>
      </c>
      <c r="I12" s="134">
        <f t="shared" si="0"/>
        <v>0</v>
      </c>
      <c r="J12" s="134">
        <f t="shared" si="0"/>
        <v>0</v>
      </c>
      <c r="K12" s="134">
        <f t="shared" si="0"/>
        <v>0</v>
      </c>
      <c r="L12" s="134">
        <f t="shared" si="0"/>
        <v>0</v>
      </c>
      <c r="M12" s="209"/>
      <c r="N12" s="188" t="s">
        <v>26</v>
      </c>
      <c r="O12" s="210"/>
      <c r="Q12" s="204">
        <v>8</v>
      </c>
    </row>
    <row r="13" spans="1:18" x14ac:dyDescent="0.25">
      <c r="A13" s="136" t="s">
        <v>27</v>
      </c>
      <c r="B13" s="137"/>
      <c r="C13" s="138"/>
      <c r="D13" s="222"/>
      <c r="E13" s="223">
        <f>SUM(E$11:E$12)</f>
        <v>0.154</v>
      </c>
      <c r="F13" s="222"/>
      <c r="G13" s="139">
        <f>SUM(G$10:G$12)</f>
        <v>0</v>
      </c>
      <c r="H13" s="139">
        <f t="shared" ref="H13:L13" si="1">SUM(H$10:H$12)</f>
        <v>0</v>
      </c>
      <c r="I13" s="139">
        <f t="shared" si="1"/>
        <v>0</v>
      </c>
      <c r="J13" s="139">
        <f t="shared" si="1"/>
        <v>0</v>
      </c>
      <c r="K13" s="139">
        <f t="shared" si="1"/>
        <v>0</v>
      </c>
      <c r="L13" s="139">
        <f t="shared" si="1"/>
        <v>0</v>
      </c>
      <c r="M13" s="224"/>
      <c r="N13" s="189"/>
      <c r="O13" s="219"/>
    </row>
    <row r="14" spans="1:18" ht="7.9" customHeight="1" x14ac:dyDescent="0.25">
      <c r="A14" s="126"/>
      <c r="B14" s="105"/>
      <c r="C14" s="127"/>
      <c r="D14" s="213"/>
      <c r="E14" s="227"/>
      <c r="F14" s="213"/>
      <c r="G14" s="127"/>
      <c r="H14" s="127"/>
      <c r="I14" s="127"/>
      <c r="J14" s="127"/>
      <c r="K14" s="127"/>
      <c r="L14" s="127"/>
      <c r="M14" s="215"/>
      <c r="N14" s="190"/>
    </row>
    <row r="15" spans="1:18" x14ac:dyDescent="0.25">
      <c r="A15" s="130" t="s">
        <v>28</v>
      </c>
      <c r="B15" s="118"/>
      <c r="C15" s="131" t="s">
        <v>23</v>
      </c>
      <c r="D15" s="217"/>
      <c r="E15" s="228"/>
      <c r="F15" s="217"/>
      <c r="G15" s="119">
        <f>G$13*'Pensioenpremie per loonschaal'!C$18</f>
        <v>0</v>
      </c>
      <c r="H15" s="119">
        <f>H$13*'Pensioenpremie per loonschaal'!D$18</f>
        <v>0</v>
      </c>
      <c r="I15" s="119">
        <f>I$13*'Pensioenpremie per loonschaal'!E$18</f>
        <v>0</v>
      </c>
      <c r="J15" s="119">
        <f>J$13*'Pensioenpremie per loonschaal'!F$18</f>
        <v>0</v>
      </c>
      <c r="K15" s="119">
        <f>K$13*'Pensioenpremie per loonschaal'!G$18</f>
        <v>0</v>
      </c>
      <c r="L15" s="119">
        <f>L$13*'Pensioenpremie per loonschaal'!H$18</f>
        <v>0</v>
      </c>
      <c r="M15" s="218"/>
      <c r="N15" s="191" t="s">
        <v>29</v>
      </c>
    </row>
    <row r="16" spans="1:18" x14ac:dyDescent="0.25">
      <c r="A16" s="122" t="s">
        <v>30</v>
      </c>
      <c r="B16" s="132"/>
      <c r="C16" s="124" t="s">
        <v>23</v>
      </c>
      <c r="D16" s="220"/>
      <c r="E16" s="221"/>
      <c r="F16" s="220"/>
      <c r="G16" s="134">
        <f>G$13*'Pensioenpremie per loonschaal'!C$26</f>
        <v>0</v>
      </c>
      <c r="H16" s="134">
        <f>H$13*'Pensioenpremie per loonschaal'!D$26</f>
        <v>0</v>
      </c>
      <c r="I16" s="134">
        <f>I$13*'Pensioenpremie per loonschaal'!E$26</f>
        <v>0</v>
      </c>
      <c r="J16" s="134">
        <f>J$13*'Pensioenpremie per loonschaal'!F$26</f>
        <v>0</v>
      </c>
      <c r="K16" s="134">
        <f>K$13*'Pensioenpremie per loonschaal'!G$26</f>
        <v>0</v>
      </c>
      <c r="L16" s="134">
        <f>L$13*'Pensioenpremie per loonschaal'!H$26</f>
        <v>0</v>
      </c>
      <c r="M16" s="209"/>
      <c r="N16" s="191" t="s">
        <v>29</v>
      </c>
    </row>
    <row r="17" spans="1:21" x14ac:dyDescent="0.25">
      <c r="A17" s="136" t="s">
        <v>31</v>
      </c>
      <c r="B17" s="137"/>
      <c r="C17" s="138"/>
      <c r="D17" s="222"/>
      <c r="E17" s="229"/>
      <c r="F17" s="222"/>
      <c r="G17" s="139">
        <f>SUM(G15:G16)</f>
        <v>0</v>
      </c>
      <c r="H17" s="139">
        <f t="shared" ref="H17:L17" si="2">SUM(H15:H16)</f>
        <v>0</v>
      </c>
      <c r="I17" s="139">
        <f t="shared" ref="I17:J17" si="3">SUM(I15:I16)</f>
        <v>0</v>
      </c>
      <c r="J17" s="139">
        <f t="shared" si="3"/>
        <v>0</v>
      </c>
      <c r="K17" s="139">
        <f t="shared" si="2"/>
        <v>0</v>
      </c>
      <c r="L17" s="139">
        <f t="shared" si="2"/>
        <v>0</v>
      </c>
      <c r="M17" s="224"/>
      <c r="N17" s="189"/>
    </row>
    <row r="18" spans="1:21" ht="7.9" customHeight="1" x14ac:dyDescent="0.25">
      <c r="A18" s="126"/>
      <c r="B18" s="105"/>
      <c r="C18" s="127"/>
      <c r="D18" s="213"/>
      <c r="E18" s="227"/>
      <c r="F18" s="213"/>
      <c r="G18" s="127"/>
      <c r="H18" s="127"/>
      <c r="I18" s="127"/>
      <c r="J18" s="127"/>
      <c r="K18" s="127"/>
      <c r="L18" s="127"/>
      <c r="M18" s="215"/>
      <c r="N18" s="190"/>
    </row>
    <row r="19" spans="1:21" x14ac:dyDescent="0.25">
      <c r="A19" s="130" t="s">
        <v>32</v>
      </c>
      <c r="B19" s="118"/>
      <c r="C19" s="131" t="s">
        <v>23</v>
      </c>
      <c r="D19" s="217"/>
      <c r="E19" s="140">
        <v>6.7699999999999996E-2</v>
      </c>
      <c r="F19" s="217"/>
      <c r="G19" s="119">
        <f>G$13*$E19</f>
        <v>0</v>
      </c>
      <c r="H19" s="119">
        <f t="shared" ref="H19:L22" si="4">H$13*$E19</f>
        <v>0</v>
      </c>
      <c r="I19" s="119">
        <f t="shared" si="4"/>
        <v>0</v>
      </c>
      <c r="J19" s="119">
        <f t="shared" si="4"/>
        <v>0</v>
      </c>
      <c r="K19" s="119">
        <f t="shared" si="4"/>
        <v>0</v>
      </c>
      <c r="L19" s="119">
        <f t="shared" si="4"/>
        <v>0</v>
      </c>
      <c r="M19" s="218"/>
      <c r="N19" s="191" t="s">
        <v>33</v>
      </c>
    </row>
    <row r="20" spans="1:21" x14ac:dyDescent="0.25">
      <c r="A20" s="122" t="s">
        <v>34</v>
      </c>
      <c r="B20" s="132"/>
      <c r="C20" s="124" t="s">
        <v>23</v>
      </c>
      <c r="D20" s="220"/>
      <c r="E20" s="135">
        <v>2.9499999999999998E-2</v>
      </c>
      <c r="F20" s="220"/>
      <c r="G20" s="134">
        <f>G$13*$E20</f>
        <v>0</v>
      </c>
      <c r="H20" s="134">
        <f t="shared" si="4"/>
        <v>0</v>
      </c>
      <c r="I20" s="134">
        <f t="shared" si="4"/>
        <v>0</v>
      </c>
      <c r="J20" s="134">
        <f t="shared" si="4"/>
        <v>0</v>
      </c>
      <c r="K20" s="134">
        <f t="shared" si="4"/>
        <v>0</v>
      </c>
      <c r="L20" s="134">
        <f t="shared" si="4"/>
        <v>0</v>
      </c>
      <c r="M20" s="209"/>
      <c r="N20" s="191" t="s">
        <v>33</v>
      </c>
    </row>
    <row r="21" spans="1:21" x14ac:dyDescent="0.25">
      <c r="A21" s="122" t="s">
        <v>35</v>
      </c>
      <c r="B21" s="132"/>
      <c r="C21" s="124" t="s">
        <v>23</v>
      </c>
      <c r="D21" s="220"/>
      <c r="E21" s="135">
        <v>6.4000000000000003E-3</v>
      </c>
      <c r="F21" s="220"/>
      <c r="G21" s="134">
        <f t="shared" ref="G21:G22" si="5">G$13*$E21</f>
        <v>0</v>
      </c>
      <c r="H21" s="134">
        <f t="shared" si="4"/>
        <v>0</v>
      </c>
      <c r="I21" s="134">
        <f t="shared" si="4"/>
        <v>0</v>
      </c>
      <c r="J21" s="134">
        <f t="shared" si="4"/>
        <v>0</v>
      </c>
      <c r="K21" s="134">
        <f t="shared" si="4"/>
        <v>0</v>
      </c>
      <c r="L21" s="134">
        <f t="shared" si="4"/>
        <v>0</v>
      </c>
      <c r="M21" s="209"/>
      <c r="N21" s="191" t="s">
        <v>33</v>
      </c>
    </row>
    <row r="22" spans="1:21" x14ac:dyDescent="0.25">
      <c r="A22" s="122" t="s">
        <v>36</v>
      </c>
      <c r="B22" s="132"/>
      <c r="C22" s="124" t="s">
        <v>23</v>
      </c>
      <c r="D22" s="220"/>
      <c r="E22" s="135">
        <v>6.9000000000000006E-2</v>
      </c>
      <c r="F22" s="220"/>
      <c r="G22" s="134">
        <f t="shared" si="5"/>
        <v>0</v>
      </c>
      <c r="H22" s="134">
        <f t="shared" si="4"/>
        <v>0</v>
      </c>
      <c r="I22" s="134">
        <f t="shared" si="4"/>
        <v>0</v>
      </c>
      <c r="J22" s="134">
        <f t="shared" si="4"/>
        <v>0</v>
      </c>
      <c r="K22" s="134">
        <f t="shared" si="4"/>
        <v>0</v>
      </c>
      <c r="L22" s="134">
        <f t="shared" si="4"/>
        <v>0</v>
      </c>
      <c r="M22" s="209"/>
      <c r="N22" s="191" t="s">
        <v>33</v>
      </c>
    </row>
    <row r="23" spans="1:21" ht="240" x14ac:dyDescent="0.25">
      <c r="A23" s="122" t="s">
        <v>37</v>
      </c>
      <c r="B23" s="132"/>
      <c r="C23" s="124" t="s">
        <v>38</v>
      </c>
      <c r="D23" s="220"/>
      <c r="E23" s="141"/>
      <c r="F23" s="220"/>
      <c r="G23" s="134">
        <f t="shared" ref="G23:L24" si="6">G$13*$E23</f>
        <v>0</v>
      </c>
      <c r="H23" s="134">
        <f t="shared" si="6"/>
        <v>0</v>
      </c>
      <c r="I23" s="134">
        <f t="shared" si="6"/>
        <v>0</v>
      </c>
      <c r="J23" s="134">
        <f t="shared" si="6"/>
        <v>0</v>
      </c>
      <c r="K23" s="134">
        <f t="shared" si="6"/>
        <v>0</v>
      </c>
      <c r="L23" s="134">
        <f t="shared" si="6"/>
        <v>0</v>
      </c>
      <c r="M23" s="209"/>
      <c r="N23" s="188" t="s">
        <v>39</v>
      </c>
      <c r="O23" s="230"/>
      <c r="U23" s="100"/>
    </row>
    <row r="24" spans="1:21" x14ac:dyDescent="0.25">
      <c r="A24" s="122" t="s">
        <v>40</v>
      </c>
      <c r="B24" s="132"/>
      <c r="C24" s="124" t="s">
        <v>38</v>
      </c>
      <c r="D24" s="220"/>
      <c r="E24" s="141">
        <v>0</v>
      </c>
      <c r="F24" s="220"/>
      <c r="G24" s="134">
        <f t="shared" si="6"/>
        <v>0</v>
      </c>
      <c r="H24" s="134">
        <f t="shared" si="6"/>
        <v>0</v>
      </c>
      <c r="I24" s="134">
        <f t="shared" si="6"/>
        <v>0</v>
      </c>
      <c r="J24" s="134">
        <f t="shared" si="6"/>
        <v>0</v>
      </c>
      <c r="K24" s="134">
        <f t="shared" si="6"/>
        <v>0</v>
      </c>
      <c r="L24" s="134">
        <f t="shared" si="6"/>
        <v>0</v>
      </c>
      <c r="M24" s="209"/>
      <c r="N24" s="192" t="s">
        <v>41</v>
      </c>
    </row>
    <row r="25" spans="1:21" x14ac:dyDescent="0.25">
      <c r="A25" s="136" t="s">
        <v>42</v>
      </c>
      <c r="B25" s="137"/>
      <c r="C25" s="138"/>
      <c r="D25" s="222"/>
      <c r="E25" s="142">
        <f>SUM(E$19:E$24)</f>
        <v>0.1726</v>
      </c>
      <c r="F25" s="222"/>
      <c r="G25" s="139">
        <f>SUM(G$19:G$24)</f>
        <v>0</v>
      </c>
      <c r="H25" s="139">
        <f t="shared" ref="H25:L25" si="7">SUM(H$19:H$24)</f>
        <v>0</v>
      </c>
      <c r="I25" s="139">
        <f t="shared" si="7"/>
        <v>0</v>
      </c>
      <c r="J25" s="139">
        <f t="shared" si="7"/>
        <v>0</v>
      </c>
      <c r="K25" s="139">
        <f t="shared" si="7"/>
        <v>0</v>
      </c>
      <c r="L25" s="139">
        <f t="shared" si="7"/>
        <v>0</v>
      </c>
      <c r="M25" s="224"/>
      <c r="N25" s="189"/>
    </row>
    <row r="26" spans="1:21" ht="9" customHeight="1" x14ac:dyDescent="0.25">
      <c r="A26" s="143"/>
      <c r="B26" s="144"/>
      <c r="C26" s="145"/>
      <c r="D26" s="231"/>
      <c r="E26" s="146"/>
      <c r="F26" s="231"/>
      <c r="G26" s="147"/>
      <c r="H26" s="147"/>
      <c r="I26" s="147"/>
      <c r="J26" s="147"/>
      <c r="K26" s="147"/>
      <c r="L26" s="147"/>
      <c r="M26" s="233"/>
      <c r="N26" s="193"/>
    </row>
    <row r="27" spans="1:21" x14ac:dyDescent="0.25">
      <c r="A27" s="148" t="s">
        <v>43</v>
      </c>
      <c r="B27" s="149"/>
      <c r="C27" s="150"/>
      <c r="D27" s="234"/>
      <c r="E27" s="126"/>
      <c r="F27" s="234"/>
      <c r="G27" s="151">
        <f>G$13+G$17+G$25</f>
        <v>0</v>
      </c>
      <c r="H27" s="151">
        <f t="shared" ref="H27:L27" si="8">H$13+H$17+H$25</f>
        <v>0</v>
      </c>
      <c r="I27" s="151">
        <f t="shared" si="8"/>
        <v>0</v>
      </c>
      <c r="J27" s="151">
        <f t="shared" si="8"/>
        <v>0</v>
      </c>
      <c r="K27" s="151">
        <f t="shared" si="8"/>
        <v>0</v>
      </c>
      <c r="L27" s="151">
        <f t="shared" si="8"/>
        <v>0</v>
      </c>
      <c r="M27" s="215"/>
      <c r="N27" s="190"/>
    </row>
    <row r="28" spans="1:21" ht="9" customHeight="1" x14ac:dyDescent="0.25">
      <c r="A28" s="143"/>
      <c r="B28" s="144"/>
      <c r="C28" s="145"/>
      <c r="D28" s="231"/>
      <c r="E28" s="232"/>
      <c r="F28" s="231"/>
      <c r="G28" s="147"/>
      <c r="H28" s="147"/>
      <c r="I28" s="147"/>
      <c r="J28" s="147"/>
      <c r="K28" s="147"/>
      <c r="L28" s="147"/>
      <c r="M28" s="233"/>
      <c r="N28" s="193"/>
    </row>
    <row r="29" spans="1:21" x14ac:dyDescent="0.25">
      <c r="A29" s="130" t="s">
        <v>44</v>
      </c>
      <c r="B29" s="118"/>
      <c r="C29" s="131" t="s">
        <v>23</v>
      </c>
      <c r="D29" s="217"/>
      <c r="E29" s="152">
        <f>'Bruto-netto berekening'!C5</f>
        <v>0.16099988153062433</v>
      </c>
      <c r="F29" s="217"/>
      <c r="G29" s="119">
        <f>G$27*$E29</f>
        <v>0</v>
      </c>
      <c r="H29" s="119">
        <f t="shared" ref="H29:L30" si="9">H$27*$E29</f>
        <v>0</v>
      </c>
      <c r="I29" s="119">
        <f t="shared" si="9"/>
        <v>0</v>
      </c>
      <c r="J29" s="119">
        <f t="shared" si="9"/>
        <v>0</v>
      </c>
      <c r="K29" s="119">
        <f t="shared" si="9"/>
        <v>0</v>
      </c>
      <c r="L29" s="119">
        <f t="shared" si="9"/>
        <v>0</v>
      </c>
      <c r="M29" s="218"/>
      <c r="N29" s="191" t="s">
        <v>45</v>
      </c>
    </row>
    <row r="30" spans="1:21" x14ac:dyDescent="0.25">
      <c r="A30" s="122" t="s">
        <v>46</v>
      </c>
      <c r="B30" s="132"/>
      <c r="C30" s="124" t="s">
        <v>23</v>
      </c>
      <c r="D30" s="220"/>
      <c r="E30" s="117">
        <f>'Bruto-netto berekening'!C6</f>
        <v>2.3693875133278048E-2</v>
      </c>
      <c r="F30" s="220"/>
      <c r="G30" s="134">
        <f>G$27*$E30</f>
        <v>0</v>
      </c>
      <c r="H30" s="134">
        <f t="shared" si="9"/>
        <v>0</v>
      </c>
      <c r="I30" s="134">
        <f t="shared" si="9"/>
        <v>0</v>
      </c>
      <c r="J30" s="134">
        <f t="shared" si="9"/>
        <v>0</v>
      </c>
      <c r="K30" s="134">
        <f t="shared" si="9"/>
        <v>0</v>
      </c>
      <c r="L30" s="134">
        <f t="shared" si="9"/>
        <v>0</v>
      </c>
      <c r="M30" s="209"/>
      <c r="N30" s="194" t="s">
        <v>47</v>
      </c>
    </row>
    <row r="31" spans="1:21" x14ac:dyDescent="0.25">
      <c r="A31" s="143" t="s">
        <v>48</v>
      </c>
      <c r="B31" s="153"/>
      <c r="C31" s="145"/>
      <c r="D31" s="235"/>
      <c r="E31" s="154">
        <f>SUM(E$29:E$30)</f>
        <v>0.18469375666390239</v>
      </c>
      <c r="F31" s="235"/>
      <c r="G31" s="155">
        <f>SUM(G$29:G$30)</f>
        <v>0</v>
      </c>
      <c r="H31" s="155">
        <f t="shared" ref="H31:L31" si="10">SUM(H$29:H$30)</f>
        <v>0</v>
      </c>
      <c r="I31" s="155">
        <f t="shared" si="10"/>
        <v>0</v>
      </c>
      <c r="J31" s="155">
        <f t="shared" si="10"/>
        <v>0</v>
      </c>
      <c r="K31" s="155">
        <f t="shared" si="10"/>
        <v>0</v>
      </c>
      <c r="L31" s="155">
        <f t="shared" si="10"/>
        <v>0</v>
      </c>
      <c r="M31" s="233"/>
      <c r="N31" s="193"/>
    </row>
    <row r="32" spans="1:21" ht="7.9" customHeight="1" x14ac:dyDescent="0.25">
      <c r="A32" s="126"/>
      <c r="B32" s="105"/>
      <c r="C32" s="127"/>
      <c r="D32" s="213"/>
      <c r="E32" s="225"/>
      <c r="F32" s="213"/>
      <c r="G32" s="226"/>
      <c r="H32" s="226"/>
      <c r="I32" s="226"/>
      <c r="J32" s="226"/>
      <c r="K32" s="226"/>
      <c r="L32" s="226"/>
      <c r="M32" s="215"/>
      <c r="N32" s="190"/>
    </row>
    <row r="33" spans="1:15" s="100" customFormat="1" x14ac:dyDescent="0.25">
      <c r="A33" s="129" t="s">
        <v>49</v>
      </c>
      <c r="B33" s="105"/>
      <c r="C33" s="156"/>
      <c r="D33" s="105"/>
      <c r="E33" s="109"/>
      <c r="F33" s="105"/>
      <c r="G33" s="105"/>
      <c r="H33" s="105"/>
      <c r="I33" s="105"/>
      <c r="J33" s="105"/>
      <c r="K33" s="105"/>
      <c r="L33" s="105"/>
      <c r="M33" s="103"/>
      <c r="N33" s="195"/>
      <c r="O33" s="178"/>
    </row>
    <row r="34" spans="1:15" ht="7.9" customHeight="1" x14ac:dyDescent="0.25">
      <c r="A34" s="157"/>
      <c r="B34" s="158"/>
      <c r="C34" s="159"/>
      <c r="D34" s="237"/>
      <c r="E34" s="236"/>
      <c r="F34" s="237"/>
      <c r="G34" s="238"/>
      <c r="H34" s="238"/>
      <c r="I34" s="238"/>
      <c r="J34" s="238"/>
      <c r="K34" s="238"/>
      <c r="L34" s="238"/>
      <c r="M34" s="233"/>
      <c r="N34" s="193"/>
    </row>
    <row r="35" spans="1:15" x14ac:dyDescent="0.25">
      <c r="A35" s="130" t="s">
        <v>50</v>
      </c>
      <c r="B35" s="118"/>
      <c r="C35" s="131" t="s">
        <v>38</v>
      </c>
      <c r="D35" s="217"/>
      <c r="E35" s="117" t="str">
        <f>IF('Bruto-netto berekening'!C7="","",'Bruto-netto berekening'!C7)</f>
        <v/>
      </c>
      <c r="F35" s="217"/>
      <c r="G35" s="119">
        <f t="shared" ref="G35:L35" si="11">IFERROR(G$27*$E35,0)</f>
        <v>0</v>
      </c>
      <c r="H35" s="119">
        <f t="shared" si="11"/>
        <v>0</v>
      </c>
      <c r="I35" s="119">
        <f t="shared" si="11"/>
        <v>0</v>
      </c>
      <c r="J35" s="119">
        <f t="shared" si="11"/>
        <v>0</v>
      </c>
      <c r="K35" s="119">
        <f t="shared" si="11"/>
        <v>0</v>
      </c>
      <c r="L35" s="119">
        <f t="shared" si="11"/>
        <v>0</v>
      </c>
      <c r="M35" s="218"/>
      <c r="N35" s="194" t="s">
        <v>51</v>
      </c>
    </row>
    <row r="36" spans="1:15" s="240" customFormat="1" x14ac:dyDescent="0.25">
      <c r="A36" s="179" t="s">
        <v>52</v>
      </c>
      <c r="B36" s="118"/>
      <c r="C36" s="131" t="s">
        <v>23</v>
      </c>
      <c r="D36" s="217"/>
      <c r="E36" s="216"/>
      <c r="F36" s="217"/>
      <c r="G36" s="183">
        <v>0</v>
      </c>
      <c r="H36" s="183">
        <v>0</v>
      </c>
      <c r="I36" s="183">
        <v>0</v>
      </c>
      <c r="J36" s="183">
        <v>0</v>
      </c>
      <c r="K36" s="183">
        <v>0</v>
      </c>
      <c r="L36" s="183">
        <v>0</v>
      </c>
      <c r="M36" s="239"/>
      <c r="N36" s="250" t="s">
        <v>53</v>
      </c>
      <c r="O36" s="210"/>
    </row>
    <row r="37" spans="1:15" ht="30" x14ac:dyDescent="0.25">
      <c r="A37" s="161" t="s">
        <v>54</v>
      </c>
      <c r="B37" s="132"/>
      <c r="C37" s="124" t="s">
        <v>23</v>
      </c>
      <c r="D37" s="220"/>
      <c r="E37" s="206"/>
      <c r="F37" s="220"/>
      <c r="G37" s="183">
        <v>0</v>
      </c>
      <c r="H37" s="183">
        <v>0</v>
      </c>
      <c r="I37" s="183">
        <v>0</v>
      </c>
      <c r="J37" s="183">
        <v>0</v>
      </c>
      <c r="K37" s="183">
        <v>0</v>
      </c>
      <c r="L37" s="183">
        <v>0</v>
      </c>
      <c r="M37" s="209"/>
      <c r="N37" s="340" t="s">
        <v>166</v>
      </c>
      <c r="O37" s="210"/>
    </row>
    <row r="38" spans="1:15" x14ac:dyDescent="0.25">
      <c r="A38" s="148" t="s">
        <v>55</v>
      </c>
      <c r="B38" s="162"/>
      <c r="C38" s="127"/>
      <c r="D38" s="241"/>
      <c r="E38" s="225"/>
      <c r="F38" s="241"/>
      <c r="G38" s="163">
        <f t="shared" ref="G38:L38" si="12">SUM(G35:G37)</f>
        <v>0</v>
      </c>
      <c r="H38" s="163">
        <f t="shared" si="12"/>
        <v>0</v>
      </c>
      <c r="I38" s="163">
        <f t="shared" si="12"/>
        <v>0</v>
      </c>
      <c r="J38" s="163">
        <f t="shared" si="12"/>
        <v>0</v>
      </c>
      <c r="K38" s="163">
        <f t="shared" si="12"/>
        <v>0</v>
      </c>
      <c r="L38" s="163">
        <f t="shared" si="12"/>
        <v>0</v>
      </c>
      <c r="M38" s="215"/>
      <c r="N38" s="190"/>
    </row>
    <row r="39" spans="1:15" ht="7.9" customHeight="1" x14ac:dyDescent="0.25">
      <c r="A39" s="148"/>
      <c r="B39" s="162"/>
      <c r="C39" s="127"/>
      <c r="D39" s="241"/>
      <c r="E39" s="225"/>
      <c r="F39" s="241"/>
      <c r="G39" s="163"/>
      <c r="H39" s="163"/>
      <c r="I39" s="163"/>
      <c r="J39" s="163"/>
      <c r="K39" s="163"/>
      <c r="L39" s="163"/>
      <c r="M39" s="215"/>
      <c r="N39" s="190"/>
    </row>
    <row r="40" spans="1:15" x14ac:dyDescent="0.25">
      <c r="A40" s="148" t="s">
        <v>56</v>
      </c>
      <c r="B40" s="162"/>
      <c r="C40" s="127"/>
      <c r="D40" s="241"/>
      <c r="E40" s="225"/>
      <c r="F40" s="241"/>
      <c r="G40" s="163">
        <f t="shared" ref="G40:L40" si="13">G$27+G$31+G$38</f>
        <v>0</v>
      </c>
      <c r="H40" s="163">
        <f t="shared" si="13"/>
        <v>0</v>
      </c>
      <c r="I40" s="163">
        <f t="shared" si="13"/>
        <v>0</v>
      </c>
      <c r="J40" s="163">
        <f t="shared" si="13"/>
        <v>0</v>
      </c>
      <c r="K40" s="163">
        <f t="shared" si="13"/>
        <v>0</v>
      </c>
      <c r="L40" s="163">
        <f t="shared" si="13"/>
        <v>0</v>
      </c>
      <c r="M40" s="215"/>
      <c r="N40" s="190"/>
    </row>
    <row r="41" spans="1:15" ht="7.9" customHeight="1" x14ac:dyDescent="0.25">
      <c r="A41" s="126"/>
      <c r="B41" s="105"/>
      <c r="C41" s="127"/>
      <c r="D41" s="213"/>
      <c r="E41" s="225"/>
      <c r="F41" s="213"/>
      <c r="G41" s="127"/>
      <c r="H41" s="127"/>
      <c r="I41" s="127"/>
      <c r="J41" s="127"/>
      <c r="K41" s="127"/>
      <c r="L41" s="127"/>
      <c r="M41" s="215"/>
      <c r="N41" s="190"/>
    </row>
    <row r="42" spans="1:15" s="100" customFormat="1" x14ac:dyDescent="0.25">
      <c r="A42" s="129" t="s">
        <v>57</v>
      </c>
      <c r="B42" s="105"/>
      <c r="C42" s="156"/>
      <c r="D42" s="105"/>
      <c r="E42" s="109"/>
      <c r="F42" s="105"/>
      <c r="G42" s="105"/>
      <c r="H42" s="105"/>
      <c r="I42" s="105"/>
      <c r="J42" s="105"/>
      <c r="K42" s="105"/>
      <c r="L42" s="105"/>
      <c r="M42" s="103"/>
      <c r="N42" s="195"/>
      <c r="O42" s="178"/>
    </row>
    <row r="43" spans="1:15" ht="7.9" customHeight="1" x14ac:dyDescent="0.25">
      <c r="A43" s="157"/>
      <c r="B43" s="158"/>
      <c r="C43" s="159"/>
      <c r="D43" s="237"/>
      <c r="E43" s="236"/>
      <c r="F43" s="237"/>
      <c r="G43" s="238"/>
      <c r="H43" s="238"/>
      <c r="I43" s="238"/>
      <c r="J43" s="238"/>
      <c r="K43" s="238"/>
      <c r="L43" s="238"/>
      <c r="M43" s="233"/>
      <c r="N43" s="193"/>
    </row>
    <row r="44" spans="1:15" ht="30" x14ac:dyDescent="0.25">
      <c r="A44" s="171" t="s">
        <v>58</v>
      </c>
      <c r="B44" s="172"/>
      <c r="C44" s="173" t="s">
        <v>38</v>
      </c>
      <c r="D44" s="242"/>
      <c r="E44" s="174"/>
      <c r="F44" s="242"/>
      <c r="G44" s="175">
        <f t="shared" ref="G44:L44" si="14">G$27*$E$44</f>
        <v>0</v>
      </c>
      <c r="H44" s="175">
        <f t="shared" si="14"/>
        <v>0</v>
      </c>
      <c r="I44" s="175">
        <f t="shared" si="14"/>
        <v>0</v>
      </c>
      <c r="J44" s="175">
        <f t="shared" si="14"/>
        <v>0</v>
      </c>
      <c r="K44" s="175">
        <f t="shared" si="14"/>
        <v>0</v>
      </c>
      <c r="L44" s="175">
        <f t="shared" si="14"/>
        <v>0</v>
      </c>
      <c r="M44" s="233"/>
      <c r="N44" s="251" t="s">
        <v>59</v>
      </c>
      <c r="O44" s="210"/>
    </row>
    <row r="45" spans="1:15" ht="60" x14ac:dyDescent="0.25">
      <c r="A45" s="130" t="s">
        <v>60</v>
      </c>
      <c r="B45" s="118"/>
      <c r="C45" s="131" t="s">
        <v>38</v>
      </c>
      <c r="D45" s="217"/>
      <c r="E45" s="117"/>
      <c r="F45" s="217"/>
      <c r="G45" s="119">
        <f>$E$45*G$40</f>
        <v>0</v>
      </c>
      <c r="H45" s="119">
        <f t="shared" ref="H45:L45" si="15">$E$45*H$40</f>
        <v>0</v>
      </c>
      <c r="I45" s="119">
        <f t="shared" si="15"/>
        <v>0</v>
      </c>
      <c r="J45" s="119">
        <f t="shared" si="15"/>
        <v>0</v>
      </c>
      <c r="K45" s="119">
        <f t="shared" si="15"/>
        <v>0</v>
      </c>
      <c r="L45" s="119">
        <f t="shared" si="15"/>
        <v>0</v>
      </c>
      <c r="M45" s="233"/>
      <c r="N45" s="251" t="s">
        <v>61</v>
      </c>
    </row>
    <row r="46" spans="1:15" ht="45" x14ac:dyDescent="0.25">
      <c r="A46" s="130" t="s">
        <v>62</v>
      </c>
      <c r="B46" s="118"/>
      <c r="C46" s="131" t="s">
        <v>38</v>
      </c>
      <c r="D46" s="217"/>
      <c r="E46" s="117"/>
      <c r="F46" s="217"/>
      <c r="G46" s="119">
        <f>$E$46*G$40</f>
        <v>0</v>
      </c>
      <c r="H46" s="119">
        <f t="shared" ref="H46:L46" si="16">$E$46*H$40</f>
        <v>0</v>
      </c>
      <c r="I46" s="119">
        <f t="shared" si="16"/>
        <v>0</v>
      </c>
      <c r="J46" s="119">
        <f t="shared" si="16"/>
        <v>0</v>
      </c>
      <c r="K46" s="119">
        <f t="shared" si="16"/>
        <v>0</v>
      </c>
      <c r="L46" s="119">
        <f t="shared" si="16"/>
        <v>0</v>
      </c>
      <c r="M46" s="233"/>
      <c r="N46" s="251" t="s">
        <v>63</v>
      </c>
    </row>
    <row r="47" spans="1:15" ht="7.9" customHeight="1" x14ac:dyDescent="0.25">
      <c r="A47" s="164"/>
      <c r="B47" s="165"/>
      <c r="C47" s="159"/>
      <c r="D47" s="243"/>
      <c r="E47" s="244"/>
      <c r="F47" s="243"/>
      <c r="G47" s="245"/>
      <c r="H47" s="245"/>
      <c r="I47" s="245"/>
      <c r="J47" s="245"/>
      <c r="K47" s="245"/>
      <c r="L47" s="245"/>
      <c r="M47" s="233"/>
      <c r="N47" s="193"/>
    </row>
    <row r="48" spans="1:15" s="100" customFormat="1" x14ac:dyDescent="0.25">
      <c r="A48" s="129" t="s">
        <v>64</v>
      </c>
      <c r="B48" s="105"/>
      <c r="C48" s="156"/>
      <c r="D48" s="105"/>
      <c r="E48" s="109"/>
      <c r="F48" s="105"/>
      <c r="G48" s="105"/>
      <c r="H48" s="105"/>
      <c r="I48" s="105"/>
      <c r="J48" s="105"/>
      <c r="K48" s="105"/>
      <c r="L48" s="105"/>
      <c r="M48" s="103"/>
      <c r="N48" s="195"/>
      <c r="O48" s="178"/>
    </row>
    <row r="49" spans="1:15" x14ac:dyDescent="0.25">
      <c r="A49" s="160" t="s">
        <v>65</v>
      </c>
      <c r="B49" s="166"/>
      <c r="C49" s="131"/>
      <c r="D49" s="246"/>
      <c r="E49" s="117"/>
      <c r="F49" s="246"/>
      <c r="G49" s="167"/>
      <c r="H49" s="167"/>
      <c r="I49" s="167"/>
      <c r="J49" s="167"/>
      <c r="K49" s="167"/>
      <c r="L49" s="167"/>
      <c r="M49" s="218"/>
      <c r="N49" s="191" t="s">
        <v>66</v>
      </c>
      <c r="O49" s="210"/>
    </row>
    <row r="50" spans="1:15" x14ac:dyDescent="0.25">
      <c r="A50" s="126"/>
      <c r="B50" s="105"/>
      <c r="C50" s="127"/>
      <c r="D50" s="213"/>
      <c r="E50" s="126"/>
      <c r="F50" s="213"/>
      <c r="G50" s="127"/>
      <c r="H50" s="127"/>
      <c r="I50" s="127"/>
      <c r="J50" s="127"/>
      <c r="K50" s="127"/>
      <c r="L50" s="127"/>
      <c r="M50" s="215"/>
      <c r="N50" s="190"/>
    </row>
    <row r="51" spans="1:15" x14ac:dyDescent="0.25">
      <c r="A51" s="148" t="s">
        <v>67</v>
      </c>
      <c r="B51" s="149"/>
      <c r="C51" s="127"/>
      <c r="D51" s="234"/>
      <c r="E51" s="126"/>
      <c r="F51" s="234"/>
      <c r="G51" s="151">
        <f>(G$40+G$44+G$45+G$46)*(1+$E$49)</f>
        <v>0</v>
      </c>
      <c r="H51" s="151">
        <f t="shared" ref="H51:L51" si="17">(H$40+H$44+H$45+H$46)*(1+$E$49)</f>
        <v>0</v>
      </c>
      <c r="I51" s="151">
        <f t="shared" si="17"/>
        <v>0</v>
      </c>
      <c r="J51" s="151">
        <f t="shared" si="17"/>
        <v>0</v>
      </c>
      <c r="K51" s="151">
        <f t="shared" si="17"/>
        <v>0</v>
      </c>
      <c r="L51" s="151">
        <f t="shared" si="17"/>
        <v>0</v>
      </c>
      <c r="M51" s="215"/>
      <c r="N51" s="190"/>
    </row>
    <row r="52" spans="1:15" ht="7.9" customHeight="1" x14ac:dyDescent="0.25">
      <c r="A52" s="126"/>
      <c r="B52" s="105"/>
      <c r="C52" s="127"/>
      <c r="D52" s="213"/>
      <c r="E52" s="126"/>
      <c r="F52" s="213"/>
      <c r="G52" s="127"/>
      <c r="H52" s="127"/>
      <c r="I52" s="127"/>
      <c r="J52" s="127"/>
      <c r="K52" s="127"/>
      <c r="L52" s="127"/>
      <c r="M52" s="215"/>
      <c r="N52" s="190"/>
    </row>
    <row r="53" spans="1:15" s="100" customFormat="1" ht="18.75" x14ac:dyDescent="0.3">
      <c r="A53" s="120" t="s">
        <v>68</v>
      </c>
      <c r="B53" s="184"/>
      <c r="C53" s="168"/>
      <c r="D53" s="184"/>
      <c r="E53" s="169"/>
      <c r="F53" s="184"/>
      <c r="G53" s="170"/>
      <c r="H53" s="170"/>
      <c r="I53" s="170"/>
      <c r="J53" s="170"/>
      <c r="K53" s="341">
        <f>(G51*G7)+(H51*H7)+(I51*I7)+(J51*J7)+(K51*K7)+(L51*L7)</f>
        <v>0</v>
      </c>
      <c r="L53" s="341"/>
      <c r="M53" s="104"/>
      <c r="N53" s="111" t="s">
        <v>69</v>
      </c>
      <c r="O53" s="178"/>
    </row>
    <row r="55" spans="1:15" hidden="1" x14ac:dyDescent="0.25">
      <c r="A55" s="100" t="s">
        <v>70</v>
      </c>
      <c r="G55" s="203" t="str">
        <f t="shared" ref="G55:L55" si="18">IF(OR(G5="",G6=""),"",IF(G5="HH",G5&amp;G6,"VVT"&amp;G5&amp;G6))</f>
        <v/>
      </c>
      <c r="H55" s="203" t="str">
        <f t="shared" si="18"/>
        <v/>
      </c>
      <c r="I55" s="203" t="str">
        <f t="shared" si="18"/>
        <v/>
      </c>
      <c r="J55" s="203" t="str">
        <f t="shared" si="18"/>
        <v/>
      </c>
      <c r="K55" s="203" t="str">
        <f t="shared" si="18"/>
        <v/>
      </c>
      <c r="L55" s="203" t="str">
        <f t="shared" si="18"/>
        <v/>
      </c>
    </row>
  </sheetData>
  <sheetProtection algorithmName="SHA-512" hashValue="azfZND5JxgJ4wj8yjNdALggGk9Xnlbh8rpHSQpgGWcgY7mcw1EpJsq+/2Bckn2IqApnbelA4IKmt+ptHpvQ6nw==" saltValue="FaoKc3lY+ACyYP1G6t1HCg==" spinCount="100000" sheet="1" objects="1" scenarios="1"/>
  <mergeCells count="2">
    <mergeCell ref="K53:L53"/>
    <mergeCell ref="G3:L3"/>
  </mergeCells>
  <dataValidations count="2">
    <dataValidation type="list" allowBlank="1" showInputMessage="1" showErrorMessage="1" sqref="G6:L6">
      <formula1>IF(G5="FWG10",$P$2:$P$6,IF(G5="FWG15",$Q$2:$Q$12,$R$2:$R$7))</formula1>
    </dataValidation>
    <dataValidation type="list" allowBlank="1" showInputMessage="1" showErrorMessage="1" sqref="G5:L5">
      <formula1>"FWG10,FWG15,HH"</formula1>
    </dataValidation>
  </dataValidations>
  <pageMargins left="0.7" right="0.7" top="0.75" bottom="0.75" header="0.3" footer="0.3"/>
  <pageSetup paperSize="9" scale="66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>
      <pane ySplit="3" topLeftCell="A4" activePane="bottomLeft" state="frozen"/>
      <selection pane="bottomLeft" activeCell="G28" sqref="G28"/>
    </sheetView>
  </sheetViews>
  <sheetFormatPr defaultColWidth="10.75" defaultRowHeight="15.75" x14ac:dyDescent="0.25"/>
  <cols>
    <col min="1" max="1" width="54.75" style="5" customWidth="1"/>
    <col min="2" max="2" width="0.75" style="6" customWidth="1"/>
    <col min="3" max="3" width="14" style="6" customWidth="1"/>
    <col min="4" max="4" width="0.75" style="6" customWidth="1"/>
    <col min="5" max="5" width="7.25" style="5" customWidth="1"/>
    <col min="6" max="6" width="0.75" style="6" customWidth="1"/>
    <col min="7" max="8" width="10.75" style="6"/>
    <col min="9" max="9" width="0.75" style="6" customWidth="1"/>
    <col min="10" max="11" width="10.75" style="6"/>
    <col min="12" max="12" width="0.75" style="5" customWidth="1"/>
    <col min="13" max="13" width="62.25" style="5" customWidth="1"/>
    <col min="14" max="16384" width="10.75" style="5"/>
  </cols>
  <sheetData>
    <row r="1" spans="1:13" x14ac:dyDescent="0.25">
      <c r="A1" s="72" t="s">
        <v>0</v>
      </c>
      <c r="B1" s="17"/>
      <c r="C1" s="17"/>
      <c r="D1" s="17"/>
      <c r="E1" s="18"/>
    </row>
    <row r="3" spans="1:13" s="19" customFormat="1" ht="18.75" x14ac:dyDescent="0.3">
      <c r="A3" s="38" t="s">
        <v>5</v>
      </c>
      <c r="B3" s="181"/>
      <c r="C3" s="39"/>
      <c r="D3" s="181"/>
      <c r="E3" s="38"/>
      <c r="F3" s="181"/>
      <c r="G3" s="343" t="s">
        <v>71</v>
      </c>
      <c r="H3" s="343"/>
      <c r="I3" s="181"/>
      <c r="J3" s="343" t="s">
        <v>72</v>
      </c>
      <c r="K3" s="343"/>
      <c r="L3" s="40"/>
      <c r="M3" s="40"/>
    </row>
    <row r="4" spans="1:13" x14ac:dyDescent="0.25">
      <c r="A4" s="20" t="s">
        <v>73</v>
      </c>
      <c r="B4" s="86"/>
      <c r="C4" s="59"/>
      <c r="D4" s="86"/>
      <c r="E4" s="20"/>
      <c r="F4" s="86"/>
      <c r="G4" s="344" t="s">
        <v>74</v>
      </c>
      <c r="H4" s="344"/>
      <c r="I4" s="86"/>
      <c r="J4" s="344" t="s">
        <v>74</v>
      </c>
      <c r="K4" s="344"/>
      <c r="L4" s="87"/>
      <c r="M4" s="62" t="s">
        <v>10</v>
      </c>
    </row>
    <row r="5" spans="1:13" x14ac:dyDescent="0.25">
      <c r="A5" s="23" t="s">
        <v>75</v>
      </c>
      <c r="B5" s="73"/>
      <c r="C5" s="24"/>
      <c r="D5" s="73"/>
      <c r="E5" s="23"/>
      <c r="F5" s="73"/>
      <c r="G5" s="60" t="s">
        <v>1</v>
      </c>
      <c r="H5" s="60" t="s">
        <v>2</v>
      </c>
      <c r="I5" s="73"/>
      <c r="J5" s="60" t="s">
        <v>2</v>
      </c>
      <c r="K5" s="60" t="s">
        <v>76</v>
      </c>
      <c r="L5" s="88"/>
      <c r="M5" s="23"/>
    </row>
    <row r="6" spans="1:13" x14ac:dyDescent="0.25">
      <c r="A6" s="23" t="s">
        <v>13</v>
      </c>
      <c r="B6" s="73"/>
      <c r="C6" s="24"/>
      <c r="D6" s="73"/>
      <c r="E6" s="23"/>
      <c r="F6" s="73"/>
      <c r="G6" s="60">
        <v>3</v>
      </c>
      <c r="H6" s="60">
        <v>7</v>
      </c>
      <c r="I6" s="73"/>
      <c r="J6" s="60">
        <v>7</v>
      </c>
      <c r="K6" s="60">
        <v>4</v>
      </c>
      <c r="L6" s="88"/>
      <c r="M6" s="23"/>
    </row>
    <row r="7" spans="1:13" x14ac:dyDescent="0.25">
      <c r="A7" s="23" t="s">
        <v>77</v>
      </c>
      <c r="B7" s="74"/>
      <c r="C7" s="24"/>
      <c r="D7" s="74"/>
      <c r="E7" s="23"/>
      <c r="F7" s="74"/>
      <c r="G7" s="61">
        <v>0.75</v>
      </c>
      <c r="H7" s="61">
        <v>0.25</v>
      </c>
      <c r="I7" s="74"/>
      <c r="J7" s="61">
        <v>0.6</v>
      </c>
      <c r="K7" s="61">
        <v>0.4</v>
      </c>
      <c r="L7" s="88"/>
      <c r="M7" s="23"/>
    </row>
    <row r="8" spans="1:13" x14ac:dyDescent="0.25">
      <c r="B8" s="3"/>
      <c r="D8" s="3"/>
      <c r="F8" s="3"/>
      <c r="I8" s="3"/>
      <c r="L8" s="1"/>
    </row>
    <row r="9" spans="1:13" ht="47.25" x14ac:dyDescent="0.25">
      <c r="A9" s="41"/>
      <c r="B9" s="92"/>
      <c r="C9" s="91" t="s">
        <v>78</v>
      </c>
      <c r="D9" s="92"/>
      <c r="E9" s="90" t="s">
        <v>18</v>
      </c>
      <c r="F9" s="92"/>
      <c r="G9" s="93"/>
      <c r="H9" s="93"/>
      <c r="I9" s="92"/>
      <c r="J9" s="93"/>
      <c r="K9" s="93"/>
      <c r="L9" s="94"/>
      <c r="M9" s="95" t="s">
        <v>79</v>
      </c>
    </row>
    <row r="10" spans="1:13" x14ac:dyDescent="0.25">
      <c r="A10" s="2" t="s">
        <v>19</v>
      </c>
      <c r="B10" s="3"/>
      <c r="C10" s="3"/>
      <c r="D10" s="3"/>
      <c r="E10" s="1"/>
      <c r="F10" s="3"/>
      <c r="G10" s="3"/>
      <c r="H10" s="3"/>
      <c r="I10" s="3"/>
      <c r="J10" s="3"/>
      <c r="K10" s="3"/>
      <c r="L10" s="1"/>
      <c r="M10" s="1"/>
    </row>
    <row r="11" spans="1:13" x14ac:dyDescent="0.25">
      <c r="A11" s="20" t="s">
        <v>20</v>
      </c>
      <c r="B11" s="75"/>
      <c r="C11" s="21"/>
      <c r="D11" s="75"/>
      <c r="E11" s="20"/>
      <c r="F11" s="75"/>
      <c r="G11" s="22">
        <f>VLOOKUP(G4&amp;G5&amp;G6,'VVT VGN HVschaal UURLONEN 17'!$A$13:$F$149,6,0)</f>
        <v>10.16</v>
      </c>
      <c r="H11" s="22">
        <f>VLOOKUP(G4&amp;H5&amp;H6,'VVT VGN HVschaal UURLONEN 17'!$A$13:$F$149,6,0)</f>
        <v>12.66</v>
      </c>
      <c r="I11" s="75"/>
      <c r="J11" s="22">
        <f>VLOOKUP(J4&amp;J5&amp;J6,'VVT VGN HVschaal UURLONEN 17'!$A$13:$F$149,6,0)</f>
        <v>12.66</v>
      </c>
      <c r="K11" s="22">
        <f>VLOOKUP(J4&amp;K5&amp;K6,'VVT VGN HVschaal UURLONEN 17'!$A$13:$F$149,6,0)</f>
        <v>12.28</v>
      </c>
      <c r="L11" s="87"/>
      <c r="M11" s="20"/>
    </row>
    <row r="12" spans="1:13" x14ac:dyDescent="0.25">
      <c r="A12" s="23" t="s">
        <v>80</v>
      </c>
      <c r="B12" s="76"/>
      <c r="C12" s="24" t="s">
        <v>23</v>
      </c>
      <c r="D12" s="76"/>
      <c r="E12" s="25">
        <v>0.08</v>
      </c>
      <c r="F12" s="76"/>
      <c r="G12" s="26">
        <f>IF((G$11*$E12)&gt;0.98,(G$11*$E12),0.98)</f>
        <v>0.98</v>
      </c>
      <c r="H12" s="26">
        <f t="shared" ref="H12:K12" si="0">IF((H$11*$E12)&gt;0.98,(H$11*$E12),0.98)</f>
        <v>1.0127999999999999</v>
      </c>
      <c r="I12" s="76"/>
      <c r="J12" s="26">
        <f t="shared" si="0"/>
        <v>1.0127999999999999</v>
      </c>
      <c r="K12" s="26">
        <f t="shared" si="0"/>
        <v>0.98239999999999994</v>
      </c>
      <c r="L12" s="88"/>
      <c r="M12" s="23"/>
    </row>
    <row r="13" spans="1:13" x14ac:dyDescent="0.25">
      <c r="A13" s="23" t="s">
        <v>81</v>
      </c>
      <c r="B13" s="76"/>
      <c r="C13" s="24" t="s">
        <v>23</v>
      </c>
      <c r="D13" s="76"/>
      <c r="E13" s="27">
        <v>7.3999999999999996E-2</v>
      </c>
      <c r="F13" s="76"/>
      <c r="G13" s="26">
        <f>IF((G$11*$E13)&gt;0.94,(G$11*$E13),0.94)</f>
        <v>0.94</v>
      </c>
      <c r="H13" s="26">
        <f t="shared" ref="H13:K13" si="1">IF((H$11*$E13)&gt;0.94,(H$11*$E13),0.94)</f>
        <v>0.94</v>
      </c>
      <c r="I13" s="76"/>
      <c r="J13" s="26">
        <f t="shared" si="1"/>
        <v>0.94</v>
      </c>
      <c r="K13" s="26">
        <f t="shared" si="1"/>
        <v>0.94</v>
      </c>
      <c r="L13" s="88"/>
      <c r="M13" s="23"/>
    </row>
    <row r="14" spans="1:13" x14ac:dyDescent="0.25">
      <c r="A14" s="31" t="s">
        <v>27</v>
      </c>
      <c r="B14" s="77"/>
      <c r="C14" s="32"/>
      <c r="D14" s="77"/>
      <c r="E14" s="37">
        <f>SUM(E12:E13)</f>
        <v>0.154</v>
      </c>
      <c r="F14" s="77"/>
      <c r="G14" s="34">
        <f>SUM(G11:G13)</f>
        <v>12.08</v>
      </c>
      <c r="H14" s="34">
        <f t="shared" ref="H14:K14" si="2">SUM(H11:H13)</f>
        <v>14.6128</v>
      </c>
      <c r="I14" s="77"/>
      <c r="J14" s="34">
        <f t="shared" si="2"/>
        <v>14.6128</v>
      </c>
      <c r="K14" s="34">
        <f t="shared" si="2"/>
        <v>14.202399999999999</v>
      </c>
      <c r="L14" s="89"/>
      <c r="M14" s="35"/>
    </row>
    <row r="15" spans="1:13" ht="7.9" customHeight="1" x14ac:dyDescent="0.25">
      <c r="B15" s="3"/>
      <c r="D15" s="3"/>
      <c r="E15" s="13"/>
      <c r="F15" s="3"/>
      <c r="I15" s="3"/>
      <c r="L15" s="1"/>
    </row>
    <row r="16" spans="1:13" x14ac:dyDescent="0.25">
      <c r="A16" s="20" t="s">
        <v>28</v>
      </c>
      <c r="B16" s="75"/>
      <c r="C16" s="21" t="s">
        <v>23</v>
      </c>
      <c r="D16" s="75"/>
      <c r="E16" s="29"/>
      <c r="F16" s="75"/>
      <c r="G16" s="22">
        <f>G$14*'Pensioenpremie CAO'!B$16</f>
        <v>0.67930015974440905</v>
      </c>
      <c r="H16" s="22">
        <f>H$14*'Pensioenpremie CAO'!C$16</f>
        <v>0.97690415974440881</v>
      </c>
      <c r="I16" s="75"/>
      <c r="J16" s="22">
        <f>J$14*'Pensioenpremie CAO'!D$16</f>
        <v>0.97690415974440881</v>
      </c>
      <c r="K16" s="22">
        <f>K$14*'Pensioenpremie CAO'!E$16</f>
        <v>0.92868215974440882</v>
      </c>
      <c r="L16" s="87"/>
      <c r="M16" s="20"/>
    </row>
    <row r="17" spans="1:13" x14ac:dyDescent="0.25">
      <c r="A17" s="23" t="s">
        <v>30</v>
      </c>
      <c r="B17" s="76"/>
      <c r="C17" s="24" t="s">
        <v>23</v>
      </c>
      <c r="D17" s="76"/>
      <c r="E17" s="25"/>
      <c r="F17" s="76"/>
      <c r="G17" s="26">
        <f>G$14*'Pensioenpremie CAO'!B$24</f>
        <v>3.4321618743344E-3</v>
      </c>
      <c r="H17" s="26">
        <f>H$14*'Pensioenpremie CAO'!C$24</f>
        <v>9.7641618743344004E-3</v>
      </c>
      <c r="I17" s="76"/>
      <c r="J17" s="26">
        <f>J$14*'Pensioenpremie CAO'!D$24</f>
        <v>9.7641618743344004E-3</v>
      </c>
      <c r="K17" s="26">
        <f>K$14*'Pensioenpremie CAO'!E$24</f>
        <v>8.738161874334396E-3</v>
      </c>
      <c r="L17" s="88"/>
      <c r="M17" s="23"/>
    </row>
    <row r="18" spans="1:13" x14ac:dyDescent="0.25">
      <c r="A18" s="31" t="s">
        <v>31</v>
      </c>
      <c r="B18" s="77"/>
      <c r="C18" s="32"/>
      <c r="D18" s="77"/>
      <c r="E18" s="36"/>
      <c r="F18" s="77"/>
      <c r="G18" s="34">
        <f>SUM(G16:G17)</f>
        <v>0.68273232161874342</v>
      </c>
      <c r="H18" s="34">
        <f t="shared" ref="H18:K18" si="3">SUM(H16:H17)</f>
        <v>0.98666832161874318</v>
      </c>
      <c r="I18" s="77"/>
      <c r="J18" s="34">
        <f t="shared" si="3"/>
        <v>0.98666832161874318</v>
      </c>
      <c r="K18" s="34">
        <f t="shared" si="3"/>
        <v>0.93742032161874322</v>
      </c>
      <c r="L18" s="89"/>
      <c r="M18" s="35"/>
    </row>
    <row r="19" spans="1:13" ht="7.9" customHeight="1" x14ac:dyDescent="0.25">
      <c r="B19" s="3"/>
      <c r="D19" s="3"/>
      <c r="E19" s="13"/>
      <c r="F19" s="3"/>
      <c r="I19" s="3"/>
      <c r="L19" s="1"/>
    </row>
    <row r="20" spans="1:13" x14ac:dyDescent="0.25">
      <c r="A20" s="20" t="s">
        <v>32</v>
      </c>
      <c r="B20" s="75"/>
      <c r="C20" s="21" t="s">
        <v>23</v>
      </c>
      <c r="D20" s="75"/>
      <c r="E20" s="30">
        <v>6.6600000000000006E-2</v>
      </c>
      <c r="F20" s="75"/>
      <c r="G20" s="22">
        <f>G$14*$E20</f>
        <v>0.80452800000000013</v>
      </c>
      <c r="H20" s="22">
        <f t="shared" ref="H20:K23" si="4">H$14*$E20</f>
        <v>0.97321248000000005</v>
      </c>
      <c r="I20" s="75"/>
      <c r="J20" s="22">
        <f t="shared" si="4"/>
        <v>0.97321248000000005</v>
      </c>
      <c r="K20" s="22">
        <f t="shared" si="4"/>
        <v>0.94587984000000003</v>
      </c>
      <c r="L20" s="87"/>
      <c r="M20" s="20"/>
    </row>
    <row r="21" spans="1:13" x14ac:dyDescent="0.25">
      <c r="A21" s="23" t="s">
        <v>34</v>
      </c>
      <c r="B21" s="76"/>
      <c r="C21" s="24" t="s">
        <v>23</v>
      </c>
      <c r="D21" s="76"/>
      <c r="E21" s="27">
        <v>2.64E-2</v>
      </c>
      <c r="F21" s="76"/>
      <c r="G21" s="26">
        <f>G$14*$E21</f>
        <v>0.31891199999999997</v>
      </c>
      <c r="H21" s="26">
        <f t="shared" si="4"/>
        <v>0.38577792</v>
      </c>
      <c r="I21" s="76"/>
      <c r="J21" s="26">
        <f t="shared" si="4"/>
        <v>0.38577792</v>
      </c>
      <c r="K21" s="26">
        <f t="shared" si="4"/>
        <v>0.37494335999999995</v>
      </c>
      <c r="L21" s="88"/>
      <c r="M21" s="23"/>
    </row>
    <row r="22" spans="1:13" x14ac:dyDescent="0.25">
      <c r="A22" s="23" t="s">
        <v>35</v>
      </c>
      <c r="B22" s="76"/>
      <c r="C22" s="24" t="s">
        <v>23</v>
      </c>
      <c r="D22" s="76"/>
      <c r="E22" s="27">
        <v>9.4000000000000004E-3</v>
      </c>
      <c r="F22" s="76"/>
      <c r="G22" s="26">
        <f t="shared" ref="G22:G23" si="5">G$14*$E22</f>
        <v>0.113552</v>
      </c>
      <c r="H22" s="26">
        <f t="shared" si="4"/>
        <v>0.13736032000000001</v>
      </c>
      <c r="I22" s="76"/>
      <c r="J22" s="26">
        <f t="shared" si="4"/>
        <v>0.13736032000000001</v>
      </c>
      <c r="K22" s="26">
        <f t="shared" si="4"/>
        <v>0.13350255999999999</v>
      </c>
      <c r="L22" s="88"/>
      <c r="M22" s="23"/>
    </row>
    <row r="23" spans="1:13" x14ac:dyDescent="0.25">
      <c r="A23" s="23" t="s">
        <v>36</v>
      </c>
      <c r="B23" s="76"/>
      <c r="C23" s="24" t="s">
        <v>23</v>
      </c>
      <c r="D23" s="76"/>
      <c r="E23" s="27">
        <v>6.6500000000000004E-2</v>
      </c>
      <c r="F23" s="76"/>
      <c r="G23" s="26">
        <f t="shared" si="5"/>
        <v>0.80332000000000003</v>
      </c>
      <c r="H23" s="26">
        <f t="shared" si="4"/>
        <v>0.97175120000000004</v>
      </c>
      <c r="I23" s="76"/>
      <c r="J23" s="26">
        <f t="shared" si="4"/>
        <v>0.97175120000000004</v>
      </c>
      <c r="K23" s="26">
        <f t="shared" si="4"/>
        <v>0.94445959999999995</v>
      </c>
      <c r="L23" s="88"/>
      <c r="M23" s="23"/>
    </row>
    <row r="24" spans="1:13" x14ac:dyDescent="0.25">
      <c r="A24" s="23" t="s">
        <v>37</v>
      </c>
      <c r="B24" s="76"/>
      <c r="C24" s="24" t="s">
        <v>38</v>
      </c>
      <c r="D24" s="76"/>
      <c r="E24" s="64">
        <v>9.1000000000000004E-3</v>
      </c>
      <c r="F24" s="76"/>
      <c r="G24" s="26">
        <f>G$14*$E24</f>
        <v>0.10992800000000001</v>
      </c>
      <c r="H24" s="26">
        <f>H$14*$E24</f>
        <v>0.13297648000000001</v>
      </c>
      <c r="I24" s="76"/>
      <c r="J24" s="26">
        <f>J$14*$E24</f>
        <v>0.13297648000000001</v>
      </c>
      <c r="K24" s="26">
        <f>K$14*$E24</f>
        <v>0.12924184</v>
      </c>
      <c r="L24" s="88"/>
      <c r="M24" s="63" t="s">
        <v>82</v>
      </c>
    </row>
    <row r="25" spans="1:13" x14ac:dyDescent="0.25">
      <c r="A25" s="23" t="s">
        <v>40</v>
      </c>
      <c r="B25" s="76"/>
      <c r="C25" s="24" t="s">
        <v>38</v>
      </c>
      <c r="D25" s="76"/>
      <c r="E25" s="64">
        <v>0</v>
      </c>
      <c r="F25" s="76"/>
      <c r="G25" s="26">
        <f>G$14*$E25</f>
        <v>0</v>
      </c>
      <c r="H25" s="26">
        <f>H$14*$E25</f>
        <v>0</v>
      </c>
      <c r="I25" s="76"/>
      <c r="J25" s="26">
        <f>J$14*$E25</f>
        <v>0</v>
      </c>
      <c r="K25" s="26">
        <f>K$14*$E25</f>
        <v>0</v>
      </c>
      <c r="L25" s="88"/>
      <c r="M25" s="63" t="s">
        <v>83</v>
      </c>
    </row>
    <row r="26" spans="1:13" x14ac:dyDescent="0.25">
      <c r="A26" s="31" t="s">
        <v>42</v>
      </c>
      <c r="B26" s="77"/>
      <c r="C26" s="32"/>
      <c r="D26" s="77"/>
      <c r="E26" s="33">
        <f>SUM(E20:E25)</f>
        <v>0.17799999999999999</v>
      </c>
      <c r="F26" s="77"/>
      <c r="G26" s="34">
        <f>SUM(G20:G25)</f>
        <v>2.1502400000000002</v>
      </c>
      <c r="H26" s="34">
        <f t="shared" ref="H26:K26" si="6">SUM(H20:H25)</f>
        <v>2.6010784</v>
      </c>
      <c r="I26" s="77"/>
      <c r="J26" s="34">
        <f t="shared" si="6"/>
        <v>2.6010784</v>
      </c>
      <c r="K26" s="34">
        <f t="shared" si="6"/>
        <v>2.5280271999999999</v>
      </c>
      <c r="L26" s="89"/>
      <c r="M26" s="35"/>
    </row>
    <row r="27" spans="1:13" ht="7.9" customHeight="1" x14ac:dyDescent="0.25">
      <c r="B27" s="3"/>
      <c r="D27" s="3"/>
      <c r="F27" s="3"/>
      <c r="I27" s="3"/>
      <c r="L27" s="1"/>
    </row>
    <row r="28" spans="1:13" x14ac:dyDescent="0.25">
      <c r="A28" s="10" t="s">
        <v>43</v>
      </c>
      <c r="B28" s="78"/>
      <c r="C28" s="14"/>
      <c r="D28" s="78"/>
      <c r="F28" s="78"/>
      <c r="G28" s="11">
        <f>G14+G18+G26</f>
        <v>14.912972321618744</v>
      </c>
      <c r="H28" s="11">
        <f t="shared" ref="H28:K28" si="7">H14+H18+H26</f>
        <v>18.200546721618743</v>
      </c>
      <c r="I28" s="78"/>
      <c r="J28" s="11">
        <f t="shared" si="7"/>
        <v>18.200546721618743</v>
      </c>
      <c r="K28" s="11">
        <f t="shared" si="7"/>
        <v>17.667847521618743</v>
      </c>
      <c r="L28" s="1"/>
    </row>
    <row r="29" spans="1:13" x14ac:dyDescent="0.25">
      <c r="B29" s="3"/>
      <c r="D29" s="3"/>
      <c r="F29" s="3"/>
      <c r="I29" s="3"/>
      <c r="L29" s="1"/>
    </row>
    <row r="30" spans="1:13" x14ac:dyDescent="0.25">
      <c r="A30" s="2" t="s">
        <v>84</v>
      </c>
      <c r="B30" s="3"/>
      <c r="C30" s="4"/>
      <c r="D30" s="3"/>
      <c r="E30" s="1"/>
      <c r="F30" s="3"/>
      <c r="G30" s="3"/>
      <c r="H30" s="3"/>
      <c r="I30" s="3"/>
      <c r="J30" s="3"/>
      <c r="K30" s="3"/>
      <c r="L30" s="1"/>
      <c r="M30" s="1"/>
    </row>
    <row r="31" spans="1:13" ht="7.9" customHeight="1" x14ac:dyDescent="0.25">
      <c r="B31" s="3"/>
      <c r="D31" s="3"/>
      <c r="F31" s="3"/>
      <c r="I31" s="3"/>
      <c r="L31" s="1"/>
    </row>
    <row r="32" spans="1:13" x14ac:dyDescent="0.25">
      <c r="A32" s="20" t="s">
        <v>44</v>
      </c>
      <c r="B32" s="75"/>
      <c r="C32" s="21" t="s">
        <v>23</v>
      </c>
      <c r="D32" s="75"/>
      <c r="E32" s="29">
        <v>0.13589999999999999</v>
      </c>
      <c r="F32" s="75"/>
      <c r="G32" s="22">
        <f>G$28*$E32</f>
        <v>2.0266729385079874</v>
      </c>
      <c r="H32" s="22">
        <f t="shared" ref="H32:K32" si="8">H$28*$E32</f>
        <v>2.4734542994679871</v>
      </c>
      <c r="I32" s="75"/>
      <c r="J32" s="22">
        <f t="shared" si="8"/>
        <v>2.4734542994679871</v>
      </c>
      <c r="K32" s="22">
        <f t="shared" si="8"/>
        <v>2.4010604781879872</v>
      </c>
      <c r="L32" s="87"/>
      <c r="M32" s="20"/>
    </row>
    <row r="33" spans="1:13" x14ac:dyDescent="0.25">
      <c r="A33" s="23" t="s">
        <v>50</v>
      </c>
      <c r="B33" s="76"/>
      <c r="C33" s="24" t="s">
        <v>38</v>
      </c>
      <c r="D33" s="76"/>
      <c r="E33" s="65">
        <v>6.3399999999999998E-2</v>
      </c>
      <c r="F33" s="76"/>
      <c r="G33" s="26">
        <f>G$28*$E33</f>
        <v>0.9454824451906283</v>
      </c>
      <c r="H33" s="26">
        <f>H$28*$E33</f>
        <v>1.1539146621506282</v>
      </c>
      <c r="I33" s="76"/>
      <c r="J33" s="26">
        <f>J$28*$E33</f>
        <v>1.1539146621506282</v>
      </c>
      <c r="K33" s="26">
        <f>K$28*$E33</f>
        <v>1.1201415328706283</v>
      </c>
      <c r="L33" s="88"/>
      <c r="M33" s="63" t="s">
        <v>85</v>
      </c>
    </row>
    <row r="34" spans="1:13" x14ac:dyDescent="0.25">
      <c r="A34" s="23" t="s">
        <v>46</v>
      </c>
      <c r="B34" s="76"/>
      <c r="C34" s="24" t="s">
        <v>23</v>
      </c>
      <c r="D34" s="76"/>
      <c r="E34" s="27">
        <v>0.02</v>
      </c>
      <c r="F34" s="76"/>
      <c r="G34" s="26">
        <f t="shared" ref="G34:K34" si="9">G$28*$E34</f>
        <v>0.2982594464323749</v>
      </c>
      <c r="H34" s="26">
        <f t="shared" si="9"/>
        <v>0.36401093443237487</v>
      </c>
      <c r="I34" s="76"/>
      <c r="J34" s="26">
        <f t="shared" si="9"/>
        <v>0.36401093443237487</v>
      </c>
      <c r="K34" s="26">
        <f t="shared" si="9"/>
        <v>0.35335695043237486</v>
      </c>
      <c r="L34" s="88"/>
      <c r="M34" s="23"/>
    </row>
    <row r="35" spans="1:13" ht="31.5" x14ac:dyDescent="0.25">
      <c r="A35" s="96" t="s">
        <v>86</v>
      </c>
      <c r="B35" s="79"/>
      <c r="C35" s="14"/>
      <c r="D35" s="79"/>
      <c r="E35" s="15">
        <f>SUM(E32:E34)</f>
        <v>0.21929999999999997</v>
      </c>
      <c r="F35" s="79"/>
      <c r="G35" s="16">
        <f t="shared" ref="G35:K35" si="10">SUM(G32:G34)</f>
        <v>3.2704148301309908</v>
      </c>
      <c r="H35" s="16">
        <f t="shared" si="10"/>
        <v>3.9913798960509905</v>
      </c>
      <c r="I35" s="79"/>
      <c r="J35" s="16">
        <f t="shared" si="10"/>
        <v>3.9913798960509905</v>
      </c>
      <c r="K35" s="16">
        <f t="shared" si="10"/>
        <v>3.8745589614909903</v>
      </c>
      <c r="L35" s="1"/>
    </row>
    <row r="36" spans="1:13" x14ac:dyDescent="0.25">
      <c r="B36" s="3"/>
      <c r="D36" s="3"/>
      <c r="F36" s="3"/>
      <c r="I36" s="3"/>
      <c r="L36" s="1"/>
    </row>
    <row r="37" spans="1:13" x14ac:dyDescent="0.25">
      <c r="A37" s="2" t="s">
        <v>87</v>
      </c>
      <c r="B37" s="3"/>
      <c r="C37" s="4"/>
      <c r="D37" s="3"/>
      <c r="E37" s="1"/>
      <c r="F37" s="3"/>
      <c r="G37" s="3"/>
      <c r="H37" s="3"/>
      <c r="I37" s="3"/>
      <c r="J37" s="3"/>
      <c r="K37" s="3"/>
      <c r="L37" s="1"/>
      <c r="M37" s="1"/>
    </row>
    <row r="38" spans="1:13" ht="7.9" customHeight="1" x14ac:dyDescent="0.25">
      <c r="B38" s="3"/>
      <c r="D38" s="3"/>
      <c r="F38" s="3"/>
      <c r="I38" s="3"/>
      <c r="L38" s="1"/>
    </row>
    <row r="39" spans="1:13" x14ac:dyDescent="0.25">
      <c r="A39" s="43" t="s">
        <v>88</v>
      </c>
      <c r="B39" s="80"/>
      <c r="C39" s="44" t="s">
        <v>38</v>
      </c>
      <c r="D39" s="80"/>
      <c r="E39" s="66">
        <v>2.5000000000000001E-2</v>
      </c>
      <c r="F39" s="80"/>
      <c r="G39" s="46">
        <f>$E39*G$28</f>
        <v>0.37282430804046862</v>
      </c>
      <c r="H39" s="46">
        <f t="shared" ref="H39:K41" si="11">$E39*H$28</f>
        <v>0.45501366804046861</v>
      </c>
      <c r="I39" s="80"/>
      <c r="J39" s="46">
        <f t="shared" si="11"/>
        <v>0.45501366804046861</v>
      </c>
      <c r="K39" s="46">
        <f t="shared" si="11"/>
        <v>0.44169618804046862</v>
      </c>
      <c r="L39" s="87"/>
      <c r="M39" s="67"/>
    </row>
    <row r="40" spans="1:13" x14ac:dyDescent="0.25">
      <c r="A40" s="45" t="s">
        <v>89</v>
      </c>
      <c r="B40" s="81"/>
      <c r="C40" s="24" t="s">
        <v>38</v>
      </c>
      <c r="D40" s="81"/>
      <c r="E40" s="64">
        <v>2.5000000000000001E-2</v>
      </c>
      <c r="F40" s="81"/>
      <c r="G40" s="47">
        <f>$E40*G$28</f>
        <v>0.37282430804046862</v>
      </c>
      <c r="H40" s="47">
        <f t="shared" si="11"/>
        <v>0.45501366804046861</v>
      </c>
      <c r="I40" s="81"/>
      <c r="J40" s="47">
        <f t="shared" si="11"/>
        <v>0.45501366804046861</v>
      </c>
      <c r="K40" s="47">
        <f t="shared" si="11"/>
        <v>0.44169618804046862</v>
      </c>
      <c r="L40" s="88"/>
      <c r="M40" s="63" t="s">
        <v>90</v>
      </c>
    </row>
    <row r="41" spans="1:13" x14ac:dyDescent="0.25">
      <c r="A41" s="45" t="s">
        <v>91</v>
      </c>
      <c r="B41" s="81"/>
      <c r="C41" s="24" t="s">
        <v>38</v>
      </c>
      <c r="D41" s="81"/>
      <c r="E41" s="64">
        <v>2.5000000000000001E-2</v>
      </c>
      <c r="F41" s="81"/>
      <c r="G41" s="47">
        <f>$E41*G$28</f>
        <v>0.37282430804046862</v>
      </c>
      <c r="H41" s="47">
        <f t="shared" si="11"/>
        <v>0.45501366804046861</v>
      </c>
      <c r="I41" s="81"/>
      <c r="J41" s="47">
        <f t="shared" si="11"/>
        <v>0.45501366804046861</v>
      </c>
      <c r="K41" s="47">
        <f t="shared" si="11"/>
        <v>0.44169618804046862</v>
      </c>
      <c r="L41" s="88"/>
      <c r="M41" s="63" t="s">
        <v>92</v>
      </c>
    </row>
    <row r="42" spans="1:13" ht="7.9" customHeight="1" x14ac:dyDescent="0.25">
      <c r="A42" s="7"/>
      <c r="B42" s="82"/>
      <c r="D42" s="82"/>
      <c r="E42" s="8"/>
      <c r="F42" s="82"/>
      <c r="G42" s="9"/>
      <c r="H42" s="9"/>
      <c r="I42" s="82"/>
      <c r="J42" s="9"/>
      <c r="K42" s="9"/>
      <c r="L42" s="1"/>
    </row>
    <row r="43" spans="1:13" ht="31.5" x14ac:dyDescent="0.25">
      <c r="A43" s="43" t="s">
        <v>93</v>
      </c>
      <c r="B43" s="83"/>
      <c r="C43" s="21" t="s">
        <v>38</v>
      </c>
      <c r="D43" s="83"/>
      <c r="E43" s="20"/>
      <c r="F43" s="83"/>
      <c r="G43" s="68">
        <v>0.28000000000000003</v>
      </c>
      <c r="H43" s="68">
        <v>0.28000000000000003</v>
      </c>
      <c r="I43" s="83"/>
      <c r="J43" s="68">
        <v>0.28000000000000003</v>
      </c>
      <c r="K43" s="68">
        <v>0.28000000000000003</v>
      </c>
      <c r="L43" s="87"/>
      <c r="M43" s="69" t="s">
        <v>94</v>
      </c>
    </row>
    <row r="44" spans="1:13" x14ac:dyDescent="0.25">
      <c r="A44" s="45" t="s">
        <v>54</v>
      </c>
      <c r="B44" s="84"/>
      <c r="C44" s="24" t="s">
        <v>38</v>
      </c>
      <c r="D44" s="84"/>
      <c r="E44" s="23"/>
      <c r="F44" s="84"/>
      <c r="G44" s="70">
        <v>0.2</v>
      </c>
      <c r="H44" s="70">
        <v>0.2</v>
      </c>
      <c r="I44" s="84"/>
      <c r="J44" s="70">
        <v>0.2</v>
      </c>
      <c r="K44" s="70">
        <v>0.2</v>
      </c>
      <c r="L44" s="88"/>
      <c r="M44" s="63"/>
    </row>
    <row r="45" spans="1:13" x14ac:dyDescent="0.25">
      <c r="A45" s="10" t="s">
        <v>95</v>
      </c>
      <c r="B45" s="85"/>
      <c r="D45" s="85"/>
      <c r="F45" s="85"/>
      <c r="G45" s="12">
        <f>SUM(G43:G44)</f>
        <v>0.48000000000000004</v>
      </c>
      <c r="H45" s="12">
        <f t="shared" ref="H45:K45" si="12">SUM(H43:H44)</f>
        <v>0.48000000000000004</v>
      </c>
      <c r="I45" s="85"/>
      <c r="J45" s="12">
        <f t="shared" si="12"/>
        <v>0.48000000000000004</v>
      </c>
      <c r="K45" s="12">
        <f t="shared" si="12"/>
        <v>0.48000000000000004</v>
      </c>
      <c r="L45" s="1"/>
    </row>
    <row r="46" spans="1:13" ht="7.9" customHeight="1" x14ac:dyDescent="0.25">
      <c r="A46" s="7"/>
      <c r="B46" s="85"/>
      <c r="D46" s="85"/>
      <c r="F46" s="85"/>
      <c r="G46" s="12"/>
      <c r="H46" s="12"/>
      <c r="I46" s="85"/>
      <c r="J46" s="12"/>
      <c r="K46" s="12"/>
      <c r="L46" s="1"/>
    </row>
    <row r="47" spans="1:13" x14ac:dyDescent="0.25">
      <c r="A47" s="43" t="s">
        <v>96</v>
      </c>
      <c r="B47" s="80"/>
      <c r="C47" s="21" t="s">
        <v>38</v>
      </c>
      <c r="D47" s="80"/>
      <c r="E47" s="66">
        <v>0.15</v>
      </c>
      <c r="F47" s="80"/>
      <c r="G47" s="46">
        <f>$E47*(G$28+G$35+G$39+G$40+G$45)</f>
        <v>2.9113553651746003</v>
      </c>
      <c r="H47" s="46">
        <f>$E47*(H$28+H$35+H$39+H$40+H$45)</f>
        <v>3.5372930930626003</v>
      </c>
      <c r="I47" s="80"/>
      <c r="J47" s="46">
        <f>$E47*(J$28+J$35+J$39+J$40+J$45)</f>
        <v>3.5372930930626003</v>
      </c>
      <c r="K47" s="46">
        <f>$E47*(K$28+K$35+K$39+K$40+K$45)</f>
        <v>3.4358698288786003</v>
      </c>
      <c r="L47" s="87"/>
      <c r="M47" s="71" t="s">
        <v>7</v>
      </c>
    </row>
    <row r="48" spans="1:13" x14ac:dyDescent="0.25">
      <c r="A48" s="10" t="s">
        <v>97</v>
      </c>
      <c r="B48" s="78"/>
      <c r="D48" s="78"/>
      <c r="F48" s="78"/>
      <c r="G48" s="11">
        <f>G$28+G$35+G$39+G$40+G$45+G$47</f>
        <v>22.32039113300527</v>
      </c>
      <c r="H48" s="11">
        <f t="shared" ref="H48:K48" si="13">H$28+H$35+H$39+H$40+H$45+H$47</f>
        <v>27.119247046813271</v>
      </c>
      <c r="I48" s="78"/>
      <c r="J48" s="11">
        <f t="shared" si="13"/>
        <v>27.119247046813271</v>
      </c>
      <c r="K48" s="11">
        <f t="shared" si="13"/>
        <v>26.341668688069269</v>
      </c>
      <c r="L48" s="1"/>
    </row>
    <row r="49" spans="1:13" ht="7.9" customHeight="1" x14ac:dyDescent="0.25">
      <c r="A49" s="10"/>
      <c r="B49" s="78"/>
      <c r="D49" s="78"/>
      <c r="F49" s="78"/>
      <c r="G49" s="11"/>
      <c r="H49" s="11"/>
      <c r="I49" s="78"/>
      <c r="J49" s="11"/>
      <c r="K49" s="11"/>
      <c r="L49" s="1"/>
    </row>
    <row r="50" spans="1:13" x14ac:dyDescent="0.25">
      <c r="A50" s="48" t="s">
        <v>98</v>
      </c>
      <c r="B50" s="80"/>
      <c r="C50" s="21" t="s">
        <v>38</v>
      </c>
      <c r="D50" s="80"/>
      <c r="E50" s="66">
        <v>0</v>
      </c>
      <c r="F50" s="80"/>
      <c r="G50" s="46">
        <f>$E50*G$48</f>
        <v>0</v>
      </c>
      <c r="H50" s="46">
        <f t="shared" ref="H50:K50" si="14">$E50*H$48</f>
        <v>0</v>
      </c>
      <c r="I50" s="80"/>
      <c r="J50" s="46">
        <f t="shared" si="14"/>
        <v>0</v>
      </c>
      <c r="K50" s="46">
        <f t="shared" si="14"/>
        <v>0</v>
      </c>
      <c r="L50" s="87"/>
      <c r="M50" s="67" t="s">
        <v>99</v>
      </c>
    </row>
    <row r="51" spans="1:13" x14ac:dyDescent="0.25">
      <c r="A51" s="45" t="s">
        <v>100</v>
      </c>
      <c r="B51" s="81"/>
      <c r="C51" s="24" t="s">
        <v>38</v>
      </c>
      <c r="D51" s="81"/>
      <c r="E51" s="64">
        <v>0.05</v>
      </c>
      <c r="F51" s="81"/>
      <c r="G51" s="47">
        <f>$E51*G$48</f>
        <v>1.1160195566502635</v>
      </c>
      <c r="H51" s="47">
        <f t="shared" ref="H51:K51" si="15">$E51*H$48</f>
        <v>1.3559623523406636</v>
      </c>
      <c r="I51" s="81"/>
      <c r="J51" s="47">
        <f t="shared" si="15"/>
        <v>1.3559623523406636</v>
      </c>
      <c r="K51" s="47">
        <f t="shared" si="15"/>
        <v>1.3170834344034636</v>
      </c>
      <c r="L51" s="88"/>
      <c r="M51" s="63"/>
    </row>
    <row r="52" spans="1:13" ht="7.9" customHeight="1" x14ac:dyDescent="0.25">
      <c r="B52" s="3"/>
      <c r="D52" s="3"/>
      <c r="F52" s="3"/>
      <c r="I52" s="3"/>
      <c r="L52" s="1"/>
    </row>
    <row r="53" spans="1:13" x14ac:dyDescent="0.25">
      <c r="A53" s="10" t="s">
        <v>101</v>
      </c>
      <c r="B53" s="78"/>
      <c r="D53" s="78"/>
      <c r="F53" s="78"/>
      <c r="G53" s="11">
        <f>G$48+G$51</f>
        <v>23.436410689655535</v>
      </c>
      <c r="H53" s="11">
        <f t="shared" ref="H53:K53" si="16">H$48+H$51</f>
        <v>28.475209399153936</v>
      </c>
      <c r="I53" s="78"/>
      <c r="J53" s="11">
        <f t="shared" si="16"/>
        <v>28.475209399153936</v>
      </c>
      <c r="K53" s="11">
        <f t="shared" si="16"/>
        <v>27.658752122472734</v>
      </c>
      <c r="L53" s="1"/>
    </row>
    <row r="54" spans="1:13" x14ac:dyDescent="0.25">
      <c r="B54" s="3"/>
      <c r="D54" s="3"/>
      <c r="F54" s="3"/>
      <c r="I54" s="3"/>
      <c r="L54" s="1"/>
    </row>
    <row r="55" spans="1:13" ht="18.75" x14ac:dyDescent="0.3">
      <c r="A55" s="38" t="s">
        <v>102</v>
      </c>
      <c r="B55" s="182"/>
      <c r="C55" s="42"/>
      <c r="D55" s="182"/>
      <c r="E55" s="40"/>
      <c r="F55" s="182"/>
      <c r="G55" s="345">
        <f>(G53*G7)+(H53*H7)</f>
        <v>24.696110367030137</v>
      </c>
      <c r="H55" s="345"/>
      <c r="I55" s="182"/>
      <c r="J55" s="345">
        <f>(J53*J7)+(K53*K7)</f>
        <v>28.148626488481455</v>
      </c>
      <c r="K55" s="345"/>
      <c r="L55" s="41"/>
      <c r="M55" s="38" t="s">
        <v>103</v>
      </c>
    </row>
  </sheetData>
  <sheetProtection sheet="1" objects="1" scenarios="1"/>
  <mergeCells count="6">
    <mergeCell ref="J3:K3"/>
    <mergeCell ref="G3:H3"/>
    <mergeCell ref="G4:H4"/>
    <mergeCell ref="J4:K4"/>
    <mergeCell ref="G55:H55"/>
    <mergeCell ref="J55:K55"/>
  </mergeCells>
  <phoneticPr fontId="22" type="noConversion"/>
  <dataValidations count="6">
    <dataValidation type="list" showInputMessage="1" showErrorMessage="1" sqref="J5:K5 H5">
      <formula1>"FWG10,FWG15,FWG20,FWG25,FWG30"</formula1>
    </dataValidation>
    <dataValidation type="list" showInputMessage="1" showErrorMessage="1" sqref="G5">
      <formula1>",FWG10,FWG15,FWG20,FWG25,FWG30"</formula1>
    </dataValidation>
    <dataValidation type="list" showInputMessage="1" showErrorMessage="1" sqref="G6">
      <formula1>INDIRECT($G$4&amp;$G$5)</formula1>
    </dataValidation>
    <dataValidation type="list" allowBlank="1" showInputMessage="1" showErrorMessage="1" sqref="H6">
      <formula1>INDIRECT($G$4&amp;$H$5)</formula1>
    </dataValidation>
    <dataValidation type="list" allowBlank="1" showInputMessage="1" showErrorMessage="1" sqref="J6">
      <formula1>INDIRECT($J$4&amp;$J$5)</formula1>
    </dataValidation>
    <dataValidation type="list" allowBlank="1" showInputMessage="1" showErrorMessage="1" sqref="K6">
      <formula1>INDIRECT($J$4&amp;$K$5)</formula1>
    </dataValidation>
  </dataValidations>
  <hyperlinks>
    <hyperlink ref="M47" location="Toelichting!A1" display="Toelichting"/>
  </hyperlinks>
  <pageMargins left="0.7" right="0.7" top="0.75" bottom="0.75" header="0.3" footer="0.3"/>
  <pageSetup paperSize="9" scale="66" fitToHeight="2" orientation="landscape" horizontalDpi="0" verticalDpi="0"/>
  <ignoredErrors>
    <ignoredError sqref="H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J21" sqref="J21"/>
    </sheetView>
  </sheetViews>
  <sheetFormatPr defaultColWidth="10.75" defaultRowHeight="15.75" x14ac:dyDescent="0.25"/>
  <cols>
    <col min="1" max="1" width="45.5" style="100" customWidth="1"/>
    <col min="2" max="2" width="8.25" style="100" customWidth="1"/>
    <col min="3" max="4" width="12.25" style="100" bestFit="1" customWidth="1"/>
    <col min="5" max="5" width="14.25" style="100" customWidth="1"/>
    <col min="6" max="6" width="14.75" style="100" customWidth="1"/>
    <col min="7" max="7" width="14.25" style="100" customWidth="1"/>
    <col min="8" max="8" width="14.75" style="100" customWidth="1"/>
    <col min="9" max="16384" width="10.75" style="100"/>
  </cols>
  <sheetData>
    <row r="1" spans="1:8" x14ac:dyDescent="0.25">
      <c r="A1" s="346" t="s">
        <v>104</v>
      </c>
      <c r="B1" s="346"/>
      <c r="C1" s="346"/>
      <c r="D1" s="346"/>
      <c r="E1" s="346"/>
      <c r="F1" s="346"/>
      <c r="G1" s="185"/>
      <c r="H1" s="185"/>
    </row>
    <row r="2" spans="1:8" x14ac:dyDescent="0.25">
      <c r="A2" s="49"/>
      <c r="B2" s="49"/>
    </row>
    <row r="3" spans="1:8" x14ac:dyDescent="0.25">
      <c r="A3" s="57" t="s">
        <v>105</v>
      </c>
      <c r="B3" s="57"/>
      <c r="C3" s="347" t="str">
        <f>'Invulblad HV schaal'!G3</f>
        <v>Hulp bij Huishouden</v>
      </c>
      <c r="D3" s="347"/>
      <c r="E3" s="347"/>
      <c r="F3" s="347"/>
      <c r="G3" s="347"/>
      <c r="H3" s="347"/>
    </row>
    <row r="4" spans="1:8" x14ac:dyDescent="0.25">
      <c r="A4" s="196" t="s">
        <v>11</v>
      </c>
      <c r="B4" s="196"/>
      <c r="C4" s="252" t="str">
        <f>IF('Invulblad HV schaal'!G5="","",'Invulblad HV schaal'!G5)</f>
        <v/>
      </c>
      <c r="D4" s="252" t="str">
        <f>IF('Invulblad HV schaal'!H5="","",'Invulblad HV schaal'!H5)</f>
        <v/>
      </c>
      <c r="E4" s="252" t="str">
        <f>IF('Invulblad HV schaal'!I5="","",'Invulblad HV schaal'!I5)</f>
        <v/>
      </c>
      <c r="F4" s="252" t="str">
        <f>IF('Invulblad HV schaal'!J5="","",'Invulblad HV schaal'!J5)</f>
        <v/>
      </c>
      <c r="G4" s="252" t="str">
        <f>IF('Invulblad HV schaal'!K5="","",'Invulblad HV schaal'!K5)</f>
        <v/>
      </c>
      <c r="H4" s="252" t="str">
        <f>IF('Invulblad HV schaal'!L5="","",'Invulblad HV schaal'!L5)</f>
        <v/>
      </c>
    </row>
    <row r="5" spans="1:8" x14ac:dyDescent="0.25">
      <c r="A5" s="196" t="s">
        <v>13</v>
      </c>
      <c r="B5" s="196"/>
      <c r="C5" s="252" t="str">
        <f>IF('Invulblad HV schaal'!G6="","",'Invulblad HV schaal'!G6)</f>
        <v/>
      </c>
      <c r="D5" s="252" t="str">
        <f>IF('Invulblad HV schaal'!H6="","",'Invulblad HV schaal'!H6)</f>
        <v/>
      </c>
      <c r="E5" s="252" t="str">
        <f>IF('Invulblad HV schaal'!I6="","",'Invulblad HV schaal'!I6)</f>
        <v/>
      </c>
      <c r="F5" s="252" t="str">
        <f>IF('Invulblad HV schaal'!J6="","",'Invulblad HV schaal'!J6)</f>
        <v/>
      </c>
      <c r="G5" s="252" t="str">
        <f>IF('Invulblad HV schaal'!K6="","",'Invulblad HV schaal'!K6)</f>
        <v/>
      </c>
      <c r="H5" s="252" t="str">
        <f>IF('Invulblad HV schaal'!L6="","",'Invulblad HV schaal'!L6)</f>
        <v/>
      </c>
    </row>
    <row r="6" spans="1:8" x14ac:dyDescent="0.25">
      <c r="A6" s="49"/>
      <c r="B6" s="49"/>
    </row>
    <row r="7" spans="1:8" x14ac:dyDescent="0.25">
      <c r="A7" s="186" t="s">
        <v>106</v>
      </c>
      <c r="B7" s="186"/>
      <c r="C7" s="253">
        <f>'Invulblad HV schaal'!G10</f>
        <v>0</v>
      </c>
      <c r="D7" s="253">
        <f>'Invulblad HV schaal'!H10</f>
        <v>0</v>
      </c>
      <c r="E7" s="253">
        <f>'Invulblad HV schaal'!I10</f>
        <v>0</v>
      </c>
      <c r="F7" s="253">
        <f>'Invulblad HV schaal'!J10</f>
        <v>0</v>
      </c>
      <c r="G7" s="253">
        <f>'Invulblad HV schaal'!K10</f>
        <v>0</v>
      </c>
      <c r="H7" s="253">
        <f>'Invulblad HV schaal'!L10</f>
        <v>0</v>
      </c>
    </row>
    <row r="8" spans="1:8" x14ac:dyDescent="0.25">
      <c r="A8" s="186" t="s">
        <v>107</v>
      </c>
      <c r="B8" s="186"/>
      <c r="C8" s="253">
        <f>C7*1878</f>
        <v>0</v>
      </c>
      <c r="D8" s="253">
        <f t="shared" ref="D8:H8" si="0">D7*1878</f>
        <v>0</v>
      </c>
      <c r="E8" s="253">
        <f t="shared" si="0"/>
        <v>0</v>
      </c>
      <c r="F8" s="253">
        <f t="shared" si="0"/>
        <v>0</v>
      </c>
      <c r="G8" s="253">
        <f t="shared" si="0"/>
        <v>0</v>
      </c>
      <c r="H8" s="253">
        <f t="shared" si="0"/>
        <v>0</v>
      </c>
    </row>
    <row r="9" spans="1:8" x14ac:dyDescent="0.25">
      <c r="A9" s="186" t="s">
        <v>108</v>
      </c>
      <c r="B9" s="186"/>
      <c r="C9" s="253">
        <f>'Invulblad HV schaal'!G13</f>
        <v>0</v>
      </c>
      <c r="D9" s="253">
        <f>'Invulblad HV schaal'!H13</f>
        <v>0</v>
      </c>
      <c r="E9" s="253">
        <f>'Invulblad HV schaal'!I13</f>
        <v>0</v>
      </c>
      <c r="F9" s="253">
        <f>'Invulblad HV schaal'!J13</f>
        <v>0</v>
      </c>
      <c r="G9" s="253">
        <f>'Invulblad HV schaal'!K13</f>
        <v>0</v>
      </c>
      <c r="H9" s="253">
        <f>'Invulblad HV schaal'!L13</f>
        <v>0</v>
      </c>
    </row>
    <row r="10" spans="1:8" x14ac:dyDescent="0.25">
      <c r="A10" s="196" t="s">
        <v>109</v>
      </c>
      <c r="B10" s="196"/>
      <c r="C10" s="254">
        <f>C9*1878</f>
        <v>0</v>
      </c>
      <c r="D10" s="254">
        <f t="shared" ref="D10:H10" si="1">D9*1878</f>
        <v>0</v>
      </c>
      <c r="E10" s="254">
        <f t="shared" si="1"/>
        <v>0</v>
      </c>
      <c r="F10" s="254">
        <f t="shared" si="1"/>
        <v>0</v>
      </c>
      <c r="G10" s="254">
        <f t="shared" si="1"/>
        <v>0</v>
      </c>
      <c r="H10" s="254">
        <f t="shared" si="1"/>
        <v>0</v>
      </c>
    </row>
    <row r="11" spans="1:8" x14ac:dyDescent="0.25">
      <c r="A11" s="49"/>
      <c r="B11" s="49"/>
    </row>
    <row r="12" spans="1:8" x14ac:dyDescent="0.25">
      <c r="A12" s="50" t="s">
        <v>110</v>
      </c>
      <c r="B12" s="50"/>
    </row>
    <row r="13" spans="1:8" x14ac:dyDescent="0.25">
      <c r="A13" s="191" t="s">
        <v>111</v>
      </c>
      <c r="B13" s="191"/>
      <c r="C13" s="255">
        <v>0.23499999999999999</v>
      </c>
      <c r="D13" s="255">
        <v>0.23499999999999999</v>
      </c>
      <c r="E13" s="255">
        <v>0.23499999999999999</v>
      </c>
      <c r="F13" s="255">
        <v>0.23499999999999999</v>
      </c>
      <c r="G13" s="255">
        <v>0.23499999999999999</v>
      </c>
      <c r="H13" s="255">
        <v>0.23499999999999999</v>
      </c>
    </row>
    <row r="14" spans="1:8" x14ac:dyDescent="0.25">
      <c r="A14" s="196" t="s">
        <v>112</v>
      </c>
      <c r="B14" s="196"/>
      <c r="C14" s="256">
        <v>11829</v>
      </c>
      <c r="D14" s="256">
        <v>11829</v>
      </c>
      <c r="E14" s="256">
        <v>11829</v>
      </c>
      <c r="F14" s="256">
        <v>11829</v>
      </c>
      <c r="G14" s="256">
        <v>11829</v>
      </c>
      <c r="H14" s="256">
        <v>11829</v>
      </c>
    </row>
    <row r="15" spans="1:8" x14ac:dyDescent="0.25">
      <c r="A15" s="196" t="s">
        <v>113</v>
      </c>
      <c r="B15" s="196"/>
      <c r="C15" s="254">
        <f>C10-C14</f>
        <v>-11829</v>
      </c>
      <c r="D15" s="254">
        <f t="shared" ref="D15:H15" si="2">D10-D14</f>
        <v>-11829</v>
      </c>
      <c r="E15" s="254">
        <f t="shared" si="2"/>
        <v>-11829</v>
      </c>
      <c r="F15" s="254">
        <f t="shared" si="2"/>
        <v>-11829</v>
      </c>
      <c r="G15" s="254">
        <f t="shared" si="2"/>
        <v>-11829</v>
      </c>
      <c r="H15" s="254">
        <f t="shared" si="2"/>
        <v>-11829</v>
      </c>
    </row>
    <row r="16" spans="1:8" x14ac:dyDescent="0.25">
      <c r="A16" s="196" t="s">
        <v>114</v>
      </c>
      <c r="B16" s="196"/>
      <c r="C16" s="254">
        <f>C15*C13</f>
        <v>-2779.8150000000001</v>
      </c>
      <c r="D16" s="254">
        <f t="shared" ref="D16:H16" si="3">D15*D13</f>
        <v>-2779.8150000000001</v>
      </c>
      <c r="E16" s="254">
        <f t="shared" si="3"/>
        <v>-2779.8150000000001</v>
      </c>
      <c r="F16" s="254">
        <f t="shared" si="3"/>
        <v>-2779.8150000000001</v>
      </c>
      <c r="G16" s="254">
        <f t="shared" si="3"/>
        <v>-2779.8150000000001</v>
      </c>
      <c r="H16" s="254">
        <f t="shared" si="3"/>
        <v>-2779.8150000000001</v>
      </c>
    </row>
    <row r="17" spans="1:8" x14ac:dyDescent="0.25">
      <c r="A17" s="49"/>
      <c r="B17" s="49"/>
    </row>
    <row r="18" spans="1:8" x14ac:dyDescent="0.25">
      <c r="A18" s="57" t="s">
        <v>115</v>
      </c>
      <c r="B18" s="57"/>
      <c r="C18" s="257">
        <f>IFERROR((C16/C10)*0.5,0)</f>
        <v>0</v>
      </c>
      <c r="D18" s="257">
        <f t="shared" ref="D18:H18" si="4">IFERROR((D16/D10)*0.5,0)</f>
        <v>0</v>
      </c>
      <c r="E18" s="257">
        <f t="shared" si="4"/>
        <v>0</v>
      </c>
      <c r="F18" s="257">
        <f t="shared" si="4"/>
        <v>0</v>
      </c>
      <c r="G18" s="257">
        <f t="shared" si="4"/>
        <v>0</v>
      </c>
      <c r="H18" s="257">
        <f t="shared" si="4"/>
        <v>0</v>
      </c>
    </row>
    <row r="19" spans="1:8" x14ac:dyDescent="0.25">
      <c r="A19" s="49"/>
      <c r="B19" s="49"/>
    </row>
    <row r="20" spans="1:8" x14ac:dyDescent="0.25">
      <c r="A20" s="50" t="s">
        <v>116</v>
      </c>
      <c r="B20" s="50"/>
    </row>
    <row r="21" spans="1:8" x14ac:dyDescent="0.25">
      <c r="A21" s="191" t="s">
        <v>111</v>
      </c>
      <c r="B21" s="191"/>
      <c r="C21" s="258">
        <v>5.0000000000000001E-3</v>
      </c>
      <c r="D21" s="258">
        <v>5.0000000000000001E-3</v>
      </c>
      <c r="E21" s="258">
        <v>5.0000000000000001E-3</v>
      </c>
      <c r="F21" s="258">
        <v>5.0000000000000001E-3</v>
      </c>
      <c r="G21" s="258">
        <v>5.0000000000000001E-3</v>
      </c>
      <c r="H21" s="258">
        <v>5.0000000000000001E-3</v>
      </c>
    </row>
    <row r="22" spans="1:8" x14ac:dyDescent="0.25">
      <c r="A22" s="196" t="s">
        <v>117</v>
      </c>
      <c r="B22" s="196"/>
      <c r="C22" s="256">
        <v>20108</v>
      </c>
      <c r="D22" s="256">
        <v>20108</v>
      </c>
      <c r="E22" s="256">
        <v>20108</v>
      </c>
      <c r="F22" s="256">
        <v>20108</v>
      </c>
      <c r="G22" s="256">
        <v>20108</v>
      </c>
      <c r="H22" s="256">
        <v>20108</v>
      </c>
    </row>
    <row r="23" spans="1:8" x14ac:dyDescent="0.25">
      <c r="A23" s="196" t="s">
        <v>113</v>
      </c>
      <c r="B23" s="196"/>
      <c r="C23" s="254">
        <f>C10-C22</f>
        <v>-20108</v>
      </c>
      <c r="D23" s="254">
        <f t="shared" ref="D23:H23" si="5">D10-D22</f>
        <v>-20108</v>
      </c>
      <c r="E23" s="254">
        <f t="shared" si="5"/>
        <v>-20108</v>
      </c>
      <c r="F23" s="254">
        <f t="shared" si="5"/>
        <v>-20108</v>
      </c>
      <c r="G23" s="254">
        <f t="shared" si="5"/>
        <v>-20108</v>
      </c>
      <c r="H23" s="254">
        <f t="shared" si="5"/>
        <v>-20108</v>
      </c>
    </row>
    <row r="24" spans="1:8" x14ac:dyDescent="0.25">
      <c r="A24" s="196" t="s">
        <v>114</v>
      </c>
      <c r="B24" s="196"/>
      <c r="C24" s="256">
        <f>C21*C23</f>
        <v>-100.54</v>
      </c>
      <c r="D24" s="256">
        <f t="shared" ref="D24:H24" si="6">D21*D23</f>
        <v>-100.54</v>
      </c>
      <c r="E24" s="256">
        <f t="shared" si="6"/>
        <v>-100.54</v>
      </c>
      <c r="F24" s="256">
        <f t="shared" si="6"/>
        <v>-100.54</v>
      </c>
      <c r="G24" s="256">
        <f t="shared" si="6"/>
        <v>-100.54</v>
      </c>
      <c r="H24" s="256">
        <f t="shared" si="6"/>
        <v>-100.54</v>
      </c>
    </row>
    <row r="25" spans="1:8" x14ac:dyDescent="0.25">
      <c r="A25" s="49"/>
      <c r="B25" s="49"/>
    </row>
    <row r="26" spans="1:8" x14ac:dyDescent="0.25">
      <c r="A26" s="57" t="s">
        <v>118</v>
      </c>
      <c r="B26" s="57"/>
      <c r="C26" s="257">
        <f>IFERROR(IF(((C24/C10)*0.5)&gt;0,(C24/C10)*0.5,0),0)</f>
        <v>0</v>
      </c>
      <c r="D26" s="257">
        <f t="shared" ref="D26:H26" si="7">IFERROR(IF(((D24/D10)*0.5)&gt;0,(D24/D10)*0.5,0),0)</f>
        <v>0</v>
      </c>
      <c r="E26" s="257">
        <f t="shared" si="7"/>
        <v>0</v>
      </c>
      <c r="F26" s="257">
        <f t="shared" si="7"/>
        <v>0</v>
      </c>
      <c r="G26" s="257">
        <f t="shared" si="7"/>
        <v>0</v>
      </c>
      <c r="H26" s="257">
        <f t="shared" si="7"/>
        <v>0</v>
      </c>
    </row>
    <row r="27" spans="1:8" x14ac:dyDescent="0.25">
      <c r="A27" s="49"/>
      <c r="B27" s="49"/>
    </row>
    <row r="28" spans="1:8" x14ac:dyDescent="0.25">
      <c r="A28" s="51" t="s">
        <v>119</v>
      </c>
      <c r="B28" s="51"/>
      <c r="C28" s="259">
        <f>C18+C26</f>
        <v>0</v>
      </c>
      <c r="D28" s="259">
        <f t="shared" ref="D28:F28" si="8">D18+D26</f>
        <v>0</v>
      </c>
      <c r="E28" s="259">
        <f t="shared" si="8"/>
        <v>0</v>
      </c>
      <c r="F28" s="259">
        <f t="shared" si="8"/>
        <v>0</v>
      </c>
      <c r="G28" s="259">
        <f t="shared" ref="G28:H28" si="9">G18+G26</f>
        <v>0</v>
      </c>
      <c r="H28" s="259">
        <f t="shared" si="9"/>
        <v>0</v>
      </c>
    </row>
  </sheetData>
  <sheetProtection algorithmName="SHA-512" hashValue="thfqTq/bennksqgE2J6ZV0uPOMlmLAa4DYlwG5HZYAkPpQcH4z9uyJtdnv7/srF64bqzt3MmMHbw8Jhz6MnWow==" saltValue="Dx+pRzFH19lYAWNzWYg+XA==" spinCount="100000" sheet="1" objects="1" scenarios="1"/>
  <mergeCells count="2">
    <mergeCell ref="A1:F1"/>
    <mergeCell ref="C3:H3"/>
  </mergeCells>
  <pageMargins left="0.7" right="0.7" top="0.75" bottom="0.75" header="0.3" footer="0.3"/>
  <ignoredErrors>
    <ignoredError sqref="C9:H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7" sqref="B7"/>
    </sheetView>
  </sheetViews>
  <sheetFormatPr defaultColWidth="10.75" defaultRowHeight="15.75" x14ac:dyDescent="0.25"/>
  <cols>
    <col min="1" max="1" width="45.5" style="5" customWidth="1"/>
    <col min="2" max="2" width="11.75" style="5" bestFit="1" customWidth="1"/>
    <col min="3" max="3" width="11.75" style="5" customWidth="1"/>
    <col min="4" max="4" width="14.25" style="5" customWidth="1"/>
    <col min="5" max="5" width="14.75" style="5" customWidth="1"/>
    <col min="6" max="16384" width="10.75" style="5"/>
  </cols>
  <sheetData>
    <row r="1" spans="1:5" x14ac:dyDescent="0.25">
      <c r="A1" s="346" t="s">
        <v>120</v>
      </c>
      <c r="B1" s="346"/>
      <c r="C1" s="346"/>
      <c r="D1" s="346"/>
      <c r="E1" s="346"/>
    </row>
    <row r="2" spans="1:5" x14ac:dyDescent="0.25">
      <c r="A2" s="49"/>
    </row>
    <row r="3" spans="1:5" x14ac:dyDescent="0.25">
      <c r="A3" s="57" t="s">
        <v>105</v>
      </c>
      <c r="B3" s="4" t="str">
        <f>'Invulblad CAO'!G3</f>
        <v>HH-1</v>
      </c>
      <c r="C3" s="4" t="str">
        <f>'Invulblad CAO'!G3</f>
        <v>HH-1</v>
      </c>
      <c r="D3" s="4" t="str">
        <f>'Invulblad CAO'!J3</f>
        <v>HH-2</v>
      </c>
      <c r="E3" s="4" t="str">
        <f>'Invulblad CAO'!J3</f>
        <v>HH-2</v>
      </c>
    </row>
    <row r="4" spans="1:5" x14ac:dyDescent="0.25">
      <c r="A4" s="56" t="s">
        <v>121</v>
      </c>
      <c r="B4" s="28" t="str">
        <f>'Invulblad CAO'!G4</f>
        <v>VVT</v>
      </c>
      <c r="C4" s="28" t="str">
        <f>'Invulblad CAO'!G4</f>
        <v>VVT</v>
      </c>
      <c r="D4" s="28" t="str">
        <f>'Invulblad CAO'!J4</f>
        <v>VVT</v>
      </c>
      <c r="E4" s="28" t="str">
        <f>'Invulblad CAO'!J4</f>
        <v>VVT</v>
      </c>
    </row>
    <row r="5" spans="1:5" x14ac:dyDescent="0.25">
      <c r="A5" s="196" t="s">
        <v>122</v>
      </c>
      <c r="B5" s="24" t="str">
        <f>'Invulblad CAO'!G5</f>
        <v>FWG10</v>
      </c>
      <c r="C5" s="24" t="str">
        <f>'Invulblad CAO'!H5</f>
        <v>FWG15</v>
      </c>
      <c r="D5" s="24" t="str">
        <f>'Invulblad CAO'!J5</f>
        <v>FWG15</v>
      </c>
      <c r="E5" s="24" t="str">
        <f>'Invulblad CAO'!K5</f>
        <v>FWG20</v>
      </c>
    </row>
    <row r="6" spans="1:5" x14ac:dyDescent="0.25">
      <c r="A6" s="49"/>
    </row>
    <row r="7" spans="1:5" x14ac:dyDescent="0.25">
      <c r="A7" s="186" t="s">
        <v>123</v>
      </c>
      <c r="B7" s="55">
        <f>'Invulblad CAO'!G14</f>
        <v>12.08</v>
      </c>
      <c r="C7" s="55">
        <f>'Invulblad CAO'!H14</f>
        <v>14.6128</v>
      </c>
      <c r="D7" s="55">
        <f>'Invulblad CAO'!J14</f>
        <v>14.6128</v>
      </c>
      <c r="E7" s="55">
        <f>'Invulblad CAO'!K14</f>
        <v>14.202399999999999</v>
      </c>
    </row>
    <row r="8" spans="1:5" x14ac:dyDescent="0.25">
      <c r="A8" s="196" t="s">
        <v>109</v>
      </c>
      <c r="B8" s="54">
        <f>B7*1878</f>
        <v>22686.240000000002</v>
      </c>
      <c r="C8" s="54">
        <f t="shared" ref="C8:E8" si="0">C7*1878</f>
        <v>27442.838400000001</v>
      </c>
      <c r="D8" s="54">
        <f t="shared" si="0"/>
        <v>27442.838400000001</v>
      </c>
      <c r="E8" s="54">
        <f t="shared" si="0"/>
        <v>26672.107199999999</v>
      </c>
    </row>
    <row r="9" spans="1:5" x14ac:dyDescent="0.25">
      <c r="A9" s="49"/>
    </row>
    <row r="10" spans="1:5" x14ac:dyDescent="0.25">
      <c r="A10" s="50" t="s">
        <v>110</v>
      </c>
    </row>
    <row r="11" spans="1:5" x14ac:dyDescent="0.25">
      <c r="A11" s="191" t="s">
        <v>111</v>
      </c>
      <c r="B11" s="30">
        <v>0.23499999999999999</v>
      </c>
      <c r="C11" s="30">
        <v>0.23499999999999999</v>
      </c>
      <c r="D11" s="30">
        <v>0.23499999999999999</v>
      </c>
      <c r="E11" s="30">
        <v>0.23499999999999999</v>
      </c>
    </row>
    <row r="12" spans="1:5" x14ac:dyDescent="0.25">
      <c r="A12" s="196" t="s">
        <v>112</v>
      </c>
      <c r="B12" s="53">
        <v>11829</v>
      </c>
      <c r="C12" s="53">
        <v>11829</v>
      </c>
      <c r="D12" s="53">
        <v>11829</v>
      </c>
      <c r="E12" s="53">
        <v>11829</v>
      </c>
    </row>
    <row r="13" spans="1:5" x14ac:dyDescent="0.25">
      <c r="A13" s="196" t="s">
        <v>113</v>
      </c>
      <c r="B13" s="54">
        <f>B8-B12</f>
        <v>10857.240000000002</v>
      </c>
      <c r="C13" s="54">
        <f>C8-C12</f>
        <v>15613.838400000001</v>
      </c>
      <c r="D13" s="54">
        <f>D8-D12</f>
        <v>15613.838400000001</v>
      </c>
      <c r="E13" s="54">
        <f>E8-E12</f>
        <v>14843.107199999999</v>
      </c>
    </row>
    <row r="14" spans="1:5" x14ac:dyDescent="0.25">
      <c r="A14" s="196" t="s">
        <v>114</v>
      </c>
      <c r="B14" s="54">
        <f>B13*B11</f>
        <v>2551.4514000000004</v>
      </c>
      <c r="C14" s="54">
        <f>C13*C11</f>
        <v>3669.2520239999999</v>
      </c>
      <c r="D14" s="54">
        <f>D13*D11</f>
        <v>3669.2520239999999</v>
      </c>
      <c r="E14" s="54">
        <f>E13*E11</f>
        <v>3488.1301919999996</v>
      </c>
    </row>
    <row r="15" spans="1:5" x14ac:dyDescent="0.25">
      <c r="A15" s="49"/>
    </row>
    <row r="16" spans="1:5" x14ac:dyDescent="0.25">
      <c r="A16" s="57" t="s">
        <v>115</v>
      </c>
      <c r="B16" s="58">
        <f>(B14/B8)*0.5</f>
        <v>5.6233456932484188E-2</v>
      </c>
      <c r="C16" s="58">
        <f>(C14/C8)*0.5</f>
        <v>6.6852633290294047E-2</v>
      </c>
      <c r="D16" s="58">
        <f>(D14/D8)*0.5</f>
        <v>6.6852633290294047E-2</v>
      </c>
      <c r="E16" s="58">
        <f>(E14/E8)*0.5</f>
        <v>6.5389100415733176E-2</v>
      </c>
    </row>
    <row r="17" spans="1:5" x14ac:dyDescent="0.25">
      <c r="A17" s="49"/>
    </row>
    <row r="18" spans="1:5" x14ac:dyDescent="0.25">
      <c r="A18" s="50" t="s">
        <v>116</v>
      </c>
    </row>
    <row r="19" spans="1:5" x14ac:dyDescent="0.25">
      <c r="A19" s="191" t="s">
        <v>111</v>
      </c>
      <c r="B19" s="29">
        <v>5.0000000000000001E-3</v>
      </c>
      <c r="C19" s="29">
        <v>5.0000000000000001E-3</v>
      </c>
      <c r="D19" s="29">
        <v>5.0000000000000001E-3</v>
      </c>
      <c r="E19" s="29">
        <v>5.0000000000000001E-3</v>
      </c>
    </row>
    <row r="20" spans="1:5" x14ac:dyDescent="0.25">
      <c r="A20" s="196" t="s">
        <v>117</v>
      </c>
      <c r="B20" s="53">
        <v>20108</v>
      </c>
      <c r="C20" s="53">
        <v>20108</v>
      </c>
      <c r="D20" s="53">
        <v>20108</v>
      </c>
      <c r="E20" s="53">
        <v>20108</v>
      </c>
    </row>
    <row r="21" spans="1:5" x14ac:dyDescent="0.25">
      <c r="A21" s="196" t="s">
        <v>113</v>
      </c>
      <c r="B21" s="54">
        <f>B8-B20</f>
        <v>2578.2400000000016</v>
      </c>
      <c r="C21" s="54">
        <f>C8-C20</f>
        <v>7334.8384000000005</v>
      </c>
      <c r="D21" s="54">
        <f>D8-D20</f>
        <v>7334.8384000000005</v>
      </c>
      <c r="E21" s="54">
        <f>E8-E20</f>
        <v>6564.1071999999986</v>
      </c>
    </row>
    <row r="22" spans="1:5" x14ac:dyDescent="0.25">
      <c r="A22" s="196" t="s">
        <v>114</v>
      </c>
      <c r="B22" s="53">
        <f>B19*B21</f>
        <v>12.891200000000008</v>
      </c>
      <c r="C22" s="53">
        <f>C19*C21</f>
        <v>36.674192000000005</v>
      </c>
      <c r="D22" s="53">
        <f>D19*D21</f>
        <v>36.674192000000005</v>
      </c>
      <c r="E22" s="53">
        <f>E19*E21</f>
        <v>32.82053599999999</v>
      </c>
    </row>
    <row r="23" spans="1:5" x14ac:dyDescent="0.25">
      <c r="A23" s="49"/>
    </row>
    <row r="24" spans="1:5" x14ac:dyDescent="0.25">
      <c r="A24" s="57" t="s">
        <v>118</v>
      </c>
      <c r="B24" s="58">
        <f>(B22/B8)*0.5</f>
        <v>2.8411936045814569E-4</v>
      </c>
      <c r="C24" s="58">
        <f>(C22/C8)*0.5</f>
        <v>6.6819239805748385E-4</v>
      </c>
      <c r="D24" s="58">
        <f>(D22/D8)*0.5</f>
        <v>6.6819239805748385E-4</v>
      </c>
      <c r="E24" s="58">
        <f>(E22/E8)*0.5</f>
        <v>6.1525952475176E-4</v>
      </c>
    </row>
    <row r="25" spans="1:5" x14ac:dyDescent="0.25">
      <c r="A25" s="49"/>
    </row>
    <row r="26" spans="1:5" x14ac:dyDescent="0.25">
      <c r="A26" s="51" t="s">
        <v>119</v>
      </c>
      <c r="B26" s="52">
        <f>B16+B24</f>
        <v>5.6517576292942337E-2</v>
      </c>
      <c r="C26" s="52">
        <f t="shared" ref="C26:E26" si="1">C16+C24</f>
        <v>6.7520825688351535E-2</v>
      </c>
      <c r="D26" s="52">
        <f t="shared" si="1"/>
        <v>6.7520825688351535E-2</v>
      </c>
      <c r="E26" s="52">
        <f t="shared" si="1"/>
        <v>6.6004359940484938E-2</v>
      </c>
    </row>
  </sheetData>
  <sheetProtection sheet="1" objects="1" scenarios="1"/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7" sqref="B7"/>
    </sheetView>
  </sheetViews>
  <sheetFormatPr defaultColWidth="8.75" defaultRowHeight="12.75" x14ac:dyDescent="0.2"/>
  <cols>
    <col min="1" max="1" width="17.25" style="260" customWidth="1"/>
    <col min="2" max="2" width="10.25" style="260" bestFit="1" customWidth="1"/>
    <col min="3" max="3" width="10.75" style="260" customWidth="1"/>
    <col min="4" max="4" width="65.375" style="260" customWidth="1"/>
    <col min="5" max="5" width="41.875" style="260" customWidth="1"/>
    <col min="6" max="16384" width="8.75" style="260"/>
  </cols>
  <sheetData>
    <row r="1" spans="1:6" s="262" customFormat="1" ht="15.75" x14ac:dyDescent="0.25">
      <c r="A1" s="346" t="s">
        <v>124</v>
      </c>
      <c r="B1" s="346"/>
      <c r="C1" s="346"/>
      <c r="D1" s="346"/>
      <c r="E1" s="114"/>
      <c r="F1" s="114"/>
    </row>
    <row r="2" spans="1:6" s="262" customFormat="1" x14ac:dyDescent="0.2"/>
    <row r="3" spans="1:6" s="262" customFormat="1" ht="30" x14ac:dyDescent="0.25">
      <c r="A3" s="112"/>
      <c r="B3" s="113" t="s">
        <v>125</v>
      </c>
      <c r="C3" s="263" t="s">
        <v>126</v>
      </c>
      <c r="D3" s="264" t="s">
        <v>7</v>
      </c>
    </row>
    <row r="4" spans="1:6" s="262" customFormat="1" ht="15" x14ac:dyDescent="0.25">
      <c r="A4" s="186" t="s">
        <v>127</v>
      </c>
      <c r="B4" s="197">
        <v>1</v>
      </c>
      <c r="C4" s="265"/>
      <c r="D4" s="266"/>
    </row>
    <row r="5" spans="1:6" s="262" customFormat="1" ht="15" x14ac:dyDescent="0.25">
      <c r="A5" s="186" t="s">
        <v>44</v>
      </c>
      <c r="B5" s="197">
        <v>0.13589999999999999</v>
      </c>
      <c r="C5" s="265">
        <f>B5/$B$8</f>
        <v>0.16099988153062433</v>
      </c>
      <c r="D5" s="266"/>
    </row>
    <row r="6" spans="1:6" ht="45" x14ac:dyDescent="0.25">
      <c r="A6" s="196" t="s">
        <v>46</v>
      </c>
      <c r="B6" s="198">
        <v>0.02</v>
      </c>
      <c r="C6" s="267">
        <f t="shared" ref="C6" si="0">B6/$B$8</f>
        <v>2.3693875133278048E-2</v>
      </c>
      <c r="D6" s="266" t="s">
        <v>128</v>
      </c>
    </row>
    <row r="7" spans="1:6" ht="75" x14ac:dyDescent="0.25">
      <c r="A7" s="199" t="s">
        <v>50</v>
      </c>
      <c r="B7" s="200"/>
      <c r="C7" s="268" t="str">
        <f>IF(B7="","",B7/$B$8)</f>
        <v/>
      </c>
      <c r="D7" s="266" t="s">
        <v>129</v>
      </c>
      <c r="E7" s="261"/>
    </row>
    <row r="8" spans="1:6" s="262" customFormat="1" ht="15" x14ac:dyDescent="0.25">
      <c r="A8" s="57" t="s">
        <v>130</v>
      </c>
      <c r="B8" s="115">
        <f>B4-B5-B6-B7</f>
        <v>0.84409999999999996</v>
      </c>
      <c r="C8" s="116"/>
      <c r="D8" s="116"/>
    </row>
    <row r="9" spans="1:6" s="262" customFormat="1" x14ac:dyDescent="0.2"/>
    <row r="10" spans="1:6" s="262" customFormat="1" ht="15" x14ac:dyDescent="0.25">
      <c r="A10" s="269" t="s">
        <v>131</v>
      </c>
    </row>
    <row r="11" spans="1:6" s="262" customFormat="1" ht="15" x14ac:dyDescent="0.25">
      <c r="A11" s="269" t="s">
        <v>132</v>
      </c>
    </row>
    <row r="12" spans="1:6" s="262" customFormat="1" ht="15" x14ac:dyDescent="0.25">
      <c r="A12" s="269" t="s">
        <v>133</v>
      </c>
    </row>
    <row r="13" spans="1:6" s="262" customFormat="1" ht="15" x14ac:dyDescent="0.25">
      <c r="A13" s="269" t="s">
        <v>134</v>
      </c>
    </row>
    <row r="14" spans="1:6" x14ac:dyDescent="0.2">
      <c r="A14" s="262"/>
      <c r="B14" s="262"/>
      <c r="C14" s="262"/>
      <c r="D14" s="262"/>
    </row>
    <row r="15" spans="1:6" x14ac:dyDescent="0.2">
      <c r="A15" s="262"/>
      <c r="B15" s="262"/>
      <c r="C15" s="262"/>
      <c r="D15" s="262"/>
    </row>
    <row r="16" spans="1:6" x14ac:dyDescent="0.2">
      <c r="A16" s="262"/>
      <c r="B16" s="262"/>
      <c r="C16" s="262"/>
      <c r="D16" s="262"/>
    </row>
    <row r="17" spans="1:4" x14ac:dyDescent="0.2">
      <c r="A17" s="262"/>
      <c r="B17" s="262"/>
      <c r="C17" s="262"/>
      <c r="D17" s="262"/>
    </row>
  </sheetData>
  <sheetProtection algorithmName="SHA-512" hashValue="ljITSJMkRMsYR/qKiPMFaEBO+xfZwzri7z84pNv/riKkj775rfXQhcKBpsQfDb/B1QavF1BJPaSUe5oGyw/9rA==" saltValue="+Rn0OBURq4Svvd6p0oE4Ag==" spinCount="100000" sheet="1" objects="1" scenarios="1"/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workbookViewId="0">
      <selection activeCell="E156" sqref="E156"/>
    </sheetView>
  </sheetViews>
  <sheetFormatPr defaultColWidth="8" defaultRowHeight="11.25" x14ac:dyDescent="0.25"/>
  <cols>
    <col min="1" max="1" width="28.5" style="270" customWidth="1"/>
    <col min="2" max="2" width="5.75" style="270" customWidth="1"/>
    <col min="3" max="3" width="8.75" style="270" customWidth="1"/>
    <col min="4" max="4" width="19" style="272" customWidth="1"/>
    <col min="5" max="5" width="18.5" style="271" customWidth="1"/>
    <col min="6" max="6" width="20.25" style="270" customWidth="1"/>
    <col min="7" max="7" width="2.25" style="270" customWidth="1"/>
    <col min="8" max="8" width="24.5" style="270" customWidth="1"/>
    <col min="9" max="9" width="26.25" style="270" customWidth="1"/>
    <col min="10" max="10" width="7.5" style="270" customWidth="1"/>
    <col min="11" max="11" width="13.25" style="270" bestFit="1" customWidth="1"/>
    <col min="12" max="12" width="9.75" style="270" customWidth="1"/>
    <col min="13" max="16384" width="8" style="270"/>
  </cols>
  <sheetData>
    <row r="1" spans="1:8" s="274" customFormat="1" x14ac:dyDescent="0.25">
      <c r="C1" s="275">
        <v>2017</v>
      </c>
      <c r="D1" s="276"/>
      <c r="E1" s="277"/>
    </row>
    <row r="2" spans="1:8" s="274" customFormat="1" x14ac:dyDescent="0.25">
      <c r="C2" s="274" t="s">
        <v>135</v>
      </c>
      <c r="E2" s="277"/>
    </row>
    <row r="3" spans="1:8" s="274" customFormat="1" x14ac:dyDescent="0.25">
      <c r="C3" s="274" t="s">
        <v>136</v>
      </c>
      <c r="E3" s="277"/>
    </row>
    <row r="4" spans="1:8" s="274" customFormat="1" x14ac:dyDescent="0.25">
      <c r="E4" s="277"/>
    </row>
    <row r="5" spans="1:8" s="274" customFormat="1" x14ac:dyDescent="0.25">
      <c r="C5" s="278" t="s">
        <v>74</v>
      </c>
      <c r="D5" s="278" t="s">
        <v>137</v>
      </c>
      <c r="E5" s="279" t="s">
        <v>138</v>
      </c>
    </row>
    <row r="6" spans="1:8" s="274" customFormat="1" x14ac:dyDescent="0.25">
      <c r="C6" s="280" t="s">
        <v>1</v>
      </c>
      <c r="D6" s="281" t="s">
        <v>1</v>
      </c>
      <c r="E6" s="279"/>
    </row>
    <row r="7" spans="1:8" s="274" customFormat="1" x14ac:dyDescent="0.25">
      <c r="C7" s="280" t="s">
        <v>2</v>
      </c>
      <c r="D7" s="281" t="s">
        <v>2</v>
      </c>
      <c r="E7" s="279"/>
    </row>
    <row r="8" spans="1:8" s="274" customFormat="1" x14ac:dyDescent="0.25">
      <c r="C8" s="280" t="s">
        <v>76</v>
      </c>
      <c r="D8" s="281" t="s">
        <v>76</v>
      </c>
      <c r="E8" s="279"/>
    </row>
    <row r="9" spans="1:8" s="274" customFormat="1" x14ac:dyDescent="0.25">
      <c r="C9" s="281" t="s">
        <v>139</v>
      </c>
      <c r="D9" s="281" t="s">
        <v>139</v>
      </c>
      <c r="E9" s="279"/>
    </row>
    <row r="10" spans="1:8" s="274" customFormat="1" x14ac:dyDescent="0.25">
      <c r="C10" s="281" t="s">
        <v>140</v>
      </c>
      <c r="D10" s="281" t="s">
        <v>140</v>
      </c>
      <c r="E10" s="279"/>
    </row>
    <row r="11" spans="1:8" s="274" customFormat="1" x14ac:dyDescent="0.25">
      <c r="C11" s="278"/>
      <c r="E11" s="279"/>
    </row>
    <row r="12" spans="1:8" s="274" customFormat="1" ht="21.75" customHeight="1" x14ac:dyDescent="0.25">
      <c r="A12" s="278" t="s">
        <v>141</v>
      </c>
      <c r="B12" s="278" t="s">
        <v>142</v>
      </c>
      <c r="C12" s="282" t="s">
        <v>143</v>
      </c>
      <c r="D12" s="283" t="s">
        <v>13</v>
      </c>
      <c r="E12" s="284" t="s">
        <v>144</v>
      </c>
      <c r="F12" s="285" t="s">
        <v>144</v>
      </c>
    </row>
    <row r="13" spans="1:8" s="274" customFormat="1" x14ac:dyDescent="0.25">
      <c r="A13" s="274" t="str">
        <f t="shared" ref="A13:A46" si="0">B13&amp;C13&amp;D13</f>
        <v>VVTFWG100</v>
      </c>
      <c r="B13" s="278" t="s">
        <v>74</v>
      </c>
      <c r="C13" s="282" t="s">
        <v>1</v>
      </c>
      <c r="D13" s="286">
        <v>0</v>
      </c>
      <c r="E13" s="287">
        <v>10.119999999999999</v>
      </c>
      <c r="F13" s="287">
        <v>10.119999999999999</v>
      </c>
      <c r="H13" s="274" t="s">
        <v>145</v>
      </c>
    </row>
    <row r="14" spans="1:8" s="274" customFormat="1" x14ac:dyDescent="0.25">
      <c r="A14" s="274" t="str">
        <f t="shared" si="0"/>
        <v>VVTFWG101</v>
      </c>
      <c r="B14" s="278" t="s">
        <v>74</v>
      </c>
      <c r="C14" s="282" t="s">
        <v>1</v>
      </c>
      <c r="D14" s="286">
        <v>1</v>
      </c>
      <c r="E14" s="287">
        <v>10.119999999999999</v>
      </c>
      <c r="F14" s="287">
        <v>10.119999999999999</v>
      </c>
      <c r="H14" s="274" t="s">
        <v>145</v>
      </c>
    </row>
    <row r="15" spans="1:8" s="274" customFormat="1" x14ac:dyDescent="0.25">
      <c r="A15" s="274" t="str">
        <f t="shared" si="0"/>
        <v>VVTFWG102</v>
      </c>
      <c r="B15" s="278" t="s">
        <v>74</v>
      </c>
      <c r="C15" s="282" t="s">
        <v>1</v>
      </c>
      <c r="D15" s="286">
        <v>2</v>
      </c>
      <c r="E15" s="287">
        <v>10.119999999999999</v>
      </c>
      <c r="F15" s="287">
        <v>10.119999999999999</v>
      </c>
      <c r="H15" s="274" t="s">
        <v>145</v>
      </c>
    </row>
    <row r="16" spans="1:8" s="274" customFormat="1" x14ac:dyDescent="0.25">
      <c r="A16" s="274" t="str">
        <f t="shared" si="0"/>
        <v>VVTFWG103</v>
      </c>
      <c r="B16" s="278" t="s">
        <v>74</v>
      </c>
      <c r="C16" s="282" t="s">
        <v>1</v>
      </c>
      <c r="D16" s="286">
        <v>3</v>
      </c>
      <c r="E16" s="288">
        <v>10.16</v>
      </c>
      <c r="F16" s="288">
        <v>10.16</v>
      </c>
    </row>
    <row r="17" spans="1:8" s="274" customFormat="1" x14ac:dyDescent="0.25">
      <c r="A17" s="274" t="str">
        <f t="shared" si="0"/>
        <v>VVTFWG104</v>
      </c>
      <c r="B17" s="278" t="s">
        <v>74</v>
      </c>
      <c r="C17" s="282" t="s">
        <v>1</v>
      </c>
      <c r="D17" s="286">
        <v>4</v>
      </c>
      <c r="E17" s="288">
        <v>10.54</v>
      </c>
      <c r="F17" s="288">
        <v>10.54</v>
      </c>
    </row>
    <row r="18" spans="1:8" s="274" customFormat="1" x14ac:dyDescent="0.25">
      <c r="A18" s="274" t="str">
        <f t="shared" si="0"/>
        <v/>
      </c>
      <c r="D18" s="289"/>
      <c r="E18" s="290"/>
      <c r="F18" s="290"/>
    </row>
    <row r="19" spans="1:8" s="274" customFormat="1" x14ac:dyDescent="0.25">
      <c r="A19" s="274" t="str">
        <f t="shared" si="0"/>
        <v/>
      </c>
      <c r="D19" s="291"/>
      <c r="E19" s="290"/>
      <c r="F19" s="290"/>
    </row>
    <row r="20" spans="1:8" s="274" customFormat="1" x14ac:dyDescent="0.25">
      <c r="A20" s="274" t="str">
        <f t="shared" si="0"/>
        <v>VVTFWG15Periodiek</v>
      </c>
      <c r="B20" s="278" t="s">
        <v>74</v>
      </c>
      <c r="C20" s="282" t="s">
        <v>2</v>
      </c>
      <c r="D20" s="283" t="s">
        <v>13</v>
      </c>
      <c r="E20" s="285" t="s">
        <v>146</v>
      </c>
      <c r="F20" s="285" t="s">
        <v>146</v>
      </c>
    </row>
    <row r="21" spans="1:8" s="274" customFormat="1" x14ac:dyDescent="0.25">
      <c r="A21" s="274" t="str">
        <f t="shared" si="0"/>
        <v>VVTFWG15Aanloopperiodiek 0</v>
      </c>
      <c r="B21" s="278" t="s">
        <v>74</v>
      </c>
      <c r="C21" s="282" t="s">
        <v>2</v>
      </c>
      <c r="D21" s="292" t="s">
        <v>4</v>
      </c>
      <c r="E21" s="287">
        <v>10.119999999999999</v>
      </c>
      <c r="F21" s="287">
        <v>10.119999999999999</v>
      </c>
      <c r="H21" s="274" t="s">
        <v>145</v>
      </c>
    </row>
    <row r="22" spans="1:8" s="274" customFormat="1" x14ac:dyDescent="0.25">
      <c r="A22" s="274" t="str">
        <f t="shared" si="0"/>
        <v>VVTFWG15Aanloopperiodiek 1</v>
      </c>
      <c r="B22" s="278" t="s">
        <v>74</v>
      </c>
      <c r="C22" s="282" t="s">
        <v>2</v>
      </c>
      <c r="D22" s="292" t="s">
        <v>8</v>
      </c>
      <c r="E22" s="293">
        <v>10.16</v>
      </c>
      <c r="F22" s="293">
        <v>10.16</v>
      </c>
    </row>
    <row r="23" spans="1:8" s="274" customFormat="1" x14ac:dyDescent="0.25">
      <c r="A23" s="274" t="str">
        <f t="shared" si="0"/>
        <v>VVTFWG150</v>
      </c>
      <c r="B23" s="278" t="s">
        <v>74</v>
      </c>
      <c r="C23" s="282" t="s">
        <v>2</v>
      </c>
      <c r="D23" s="286">
        <v>0</v>
      </c>
      <c r="E23" s="293">
        <v>10.54</v>
      </c>
      <c r="F23" s="293">
        <v>10.54</v>
      </c>
    </row>
    <row r="24" spans="1:8" s="274" customFormat="1" x14ac:dyDescent="0.25">
      <c r="A24" s="274" t="str">
        <f t="shared" si="0"/>
        <v>VVTFWG151</v>
      </c>
      <c r="B24" s="278" t="s">
        <v>74</v>
      </c>
      <c r="C24" s="282" t="s">
        <v>2</v>
      </c>
      <c r="D24" s="286">
        <v>1</v>
      </c>
      <c r="E24" s="293">
        <v>10.74</v>
      </c>
      <c r="F24" s="293">
        <v>10.74</v>
      </c>
    </row>
    <row r="25" spans="1:8" s="274" customFormat="1" x14ac:dyDescent="0.25">
      <c r="A25" s="274" t="str">
        <f t="shared" si="0"/>
        <v>VVTFWG152</v>
      </c>
      <c r="B25" s="278" t="s">
        <v>74</v>
      </c>
      <c r="C25" s="282" t="s">
        <v>2</v>
      </c>
      <c r="D25" s="286">
        <v>2</v>
      </c>
      <c r="E25" s="293">
        <v>11.02</v>
      </c>
      <c r="F25" s="293">
        <v>11.02</v>
      </c>
    </row>
    <row r="26" spans="1:8" s="274" customFormat="1" x14ac:dyDescent="0.25">
      <c r="A26" s="274" t="str">
        <f t="shared" si="0"/>
        <v>VVTFWG153</v>
      </c>
      <c r="B26" s="278" t="s">
        <v>74</v>
      </c>
      <c r="C26" s="282" t="s">
        <v>2</v>
      </c>
      <c r="D26" s="286">
        <v>3</v>
      </c>
      <c r="E26" s="293">
        <v>11.3</v>
      </c>
      <c r="F26" s="293">
        <v>11.3</v>
      </c>
    </row>
    <row r="27" spans="1:8" s="274" customFormat="1" x14ac:dyDescent="0.25">
      <c r="A27" s="274" t="str">
        <f t="shared" si="0"/>
        <v>VVTFWG154</v>
      </c>
      <c r="B27" s="278" t="s">
        <v>74</v>
      </c>
      <c r="C27" s="282" t="s">
        <v>2</v>
      </c>
      <c r="D27" s="286">
        <v>4</v>
      </c>
      <c r="E27" s="293">
        <v>11.6</v>
      </c>
      <c r="F27" s="293">
        <v>11.6</v>
      </c>
    </row>
    <row r="28" spans="1:8" s="274" customFormat="1" x14ac:dyDescent="0.25">
      <c r="A28" s="274" t="str">
        <f t="shared" si="0"/>
        <v>VVTFWG155</v>
      </c>
      <c r="B28" s="278" t="s">
        <v>74</v>
      </c>
      <c r="C28" s="282" t="s">
        <v>2</v>
      </c>
      <c r="D28" s="286">
        <v>5</v>
      </c>
      <c r="E28" s="293">
        <v>11.92</v>
      </c>
      <c r="F28" s="293">
        <v>11.92</v>
      </c>
    </row>
    <row r="29" spans="1:8" s="274" customFormat="1" x14ac:dyDescent="0.25">
      <c r="A29" s="274" t="str">
        <f t="shared" si="0"/>
        <v>VVTFWG156</v>
      </c>
      <c r="B29" s="278" t="s">
        <v>74</v>
      </c>
      <c r="C29" s="282" t="s">
        <v>2</v>
      </c>
      <c r="D29" s="286">
        <v>6</v>
      </c>
      <c r="E29" s="293">
        <v>12.28</v>
      </c>
      <c r="F29" s="293">
        <v>12.28</v>
      </c>
    </row>
    <row r="30" spans="1:8" s="274" customFormat="1" x14ac:dyDescent="0.25">
      <c r="A30" s="274" t="str">
        <f t="shared" si="0"/>
        <v>VVTFWG157</v>
      </c>
      <c r="B30" s="278" t="s">
        <v>74</v>
      </c>
      <c r="C30" s="282" t="s">
        <v>2</v>
      </c>
      <c r="D30" s="286">
        <v>7</v>
      </c>
      <c r="E30" s="293">
        <v>12.66</v>
      </c>
      <c r="F30" s="293">
        <v>12.66</v>
      </c>
    </row>
    <row r="31" spans="1:8" s="274" customFormat="1" x14ac:dyDescent="0.25">
      <c r="A31" s="274" t="str">
        <f t="shared" si="0"/>
        <v>VVTFWG158</v>
      </c>
      <c r="B31" s="278" t="s">
        <v>74</v>
      </c>
      <c r="C31" s="282" t="s">
        <v>2</v>
      </c>
      <c r="D31" s="286">
        <v>8</v>
      </c>
      <c r="E31" s="293">
        <v>13.09</v>
      </c>
      <c r="F31" s="293">
        <v>13.09</v>
      </c>
    </row>
    <row r="32" spans="1:8" s="274" customFormat="1" x14ac:dyDescent="0.25">
      <c r="A32" s="274" t="str">
        <f t="shared" si="0"/>
        <v/>
      </c>
      <c r="D32" s="294"/>
      <c r="E32" s="290"/>
      <c r="F32" s="290"/>
    </row>
    <row r="33" spans="1:12" s="274" customFormat="1" x14ac:dyDescent="0.25">
      <c r="A33" s="274" t="str">
        <f t="shared" si="0"/>
        <v/>
      </c>
      <c r="D33" s="294"/>
      <c r="E33" s="290"/>
      <c r="F33" s="290"/>
    </row>
    <row r="34" spans="1:12" s="274" customFormat="1" x14ac:dyDescent="0.25">
      <c r="A34" s="274" t="str">
        <f t="shared" si="0"/>
        <v>VVTFWG20Periodiek</v>
      </c>
      <c r="B34" s="278" t="s">
        <v>74</v>
      </c>
      <c r="C34" s="282" t="s">
        <v>76</v>
      </c>
      <c r="D34" s="283" t="s">
        <v>13</v>
      </c>
      <c r="E34" s="285" t="s">
        <v>146</v>
      </c>
      <c r="F34" s="285" t="s">
        <v>146</v>
      </c>
    </row>
    <row r="35" spans="1:12" s="274" customFormat="1" x14ac:dyDescent="0.25">
      <c r="A35" s="274" t="str">
        <f t="shared" si="0"/>
        <v>VVTFWG20Aanloopperiodiek 0</v>
      </c>
      <c r="B35" s="278" t="s">
        <v>74</v>
      </c>
      <c r="C35" s="282" t="s">
        <v>76</v>
      </c>
      <c r="D35" s="295" t="s">
        <v>4</v>
      </c>
      <c r="E35" s="296">
        <v>10.54</v>
      </c>
      <c r="F35" s="296">
        <v>10.54</v>
      </c>
    </row>
    <row r="36" spans="1:12" s="274" customFormat="1" x14ac:dyDescent="0.25">
      <c r="A36" s="274" t="str">
        <f t="shared" si="0"/>
        <v>VVTFWG20Aanloopperiodiek 1</v>
      </c>
      <c r="B36" s="278" t="s">
        <v>74</v>
      </c>
      <c r="C36" s="282" t="s">
        <v>76</v>
      </c>
      <c r="D36" s="297" t="s">
        <v>8</v>
      </c>
      <c r="E36" s="298">
        <v>10.74</v>
      </c>
      <c r="F36" s="298">
        <v>10.74</v>
      </c>
    </row>
    <row r="37" spans="1:12" s="274" customFormat="1" x14ac:dyDescent="0.25">
      <c r="A37" s="274" t="str">
        <f t="shared" si="0"/>
        <v>VVTFWG200</v>
      </c>
      <c r="B37" s="278" t="s">
        <v>74</v>
      </c>
      <c r="C37" s="282" t="s">
        <v>76</v>
      </c>
      <c r="D37" s="299">
        <v>0</v>
      </c>
      <c r="E37" s="298">
        <v>11.02</v>
      </c>
      <c r="F37" s="298">
        <v>11.02</v>
      </c>
    </row>
    <row r="38" spans="1:12" s="274" customFormat="1" x14ac:dyDescent="0.25">
      <c r="A38" s="274" t="str">
        <f t="shared" si="0"/>
        <v>VVTFWG201</v>
      </c>
      <c r="B38" s="278" t="s">
        <v>74</v>
      </c>
      <c r="C38" s="282" t="s">
        <v>76</v>
      </c>
      <c r="D38" s="299">
        <v>1</v>
      </c>
      <c r="E38" s="298">
        <v>11.3</v>
      </c>
      <c r="F38" s="298">
        <v>11.3</v>
      </c>
      <c r="K38" s="300"/>
    </row>
    <row r="39" spans="1:12" s="274" customFormat="1" x14ac:dyDescent="0.25">
      <c r="A39" s="274" t="str">
        <f t="shared" si="0"/>
        <v>VVTFWG202</v>
      </c>
      <c r="B39" s="278" t="s">
        <v>74</v>
      </c>
      <c r="C39" s="282" t="s">
        <v>76</v>
      </c>
      <c r="D39" s="299">
        <v>2</v>
      </c>
      <c r="E39" s="298">
        <v>11.6</v>
      </c>
      <c r="F39" s="298">
        <v>11.6</v>
      </c>
    </row>
    <row r="40" spans="1:12" s="274" customFormat="1" x14ac:dyDescent="0.25">
      <c r="A40" s="274" t="str">
        <f t="shared" si="0"/>
        <v>VVTFWG203</v>
      </c>
      <c r="B40" s="278" t="s">
        <v>74</v>
      </c>
      <c r="C40" s="282" t="s">
        <v>76</v>
      </c>
      <c r="D40" s="299">
        <v>3</v>
      </c>
      <c r="E40" s="298">
        <v>11.92</v>
      </c>
      <c r="F40" s="298">
        <v>11.92</v>
      </c>
      <c r="I40" s="301"/>
    </row>
    <row r="41" spans="1:12" s="274" customFormat="1" x14ac:dyDescent="0.25">
      <c r="A41" s="274" t="str">
        <f t="shared" si="0"/>
        <v>VVTFWG204</v>
      </c>
      <c r="B41" s="278" t="s">
        <v>74</v>
      </c>
      <c r="C41" s="282" t="s">
        <v>76</v>
      </c>
      <c r="D41" s="299">
        <v>4</v>
      </c>
      <c r="E41" s="298">
        <v>12.28</v>
      </c>
      <c r="F41" s="298">
        <v>12.28</v>
      </c>
    </row>
    <row r="42" spans="1:12" s="274" customFormat="1" x14ac:dyDescent="0.25">
      <c r="A42" s="274" t="str">
        <f t="shared" si="0"/>
        <v>VVTFWG205</v>
      </c>
      <c r="B42" s="278" t="s">
        <v>74</v>
      </c>
      <c r="C42" s="282" t="s">
        <v>76</v>
      </c>
      <c r="D42" s="299">
        <v>5</v>
      </c>
      <c r="E42" s="298">
        <v>12.66</v>
      </c>
      <c r="F42" s="298">
        <v>12.66</v>
      </c>
    </row>
    <row r="43" spans="1:12" s="274" customFormat="1" x14ac:dyDescent="0.25">
      <c r="A43" s="274" t="str">
        <f t="shared" si="0"/>
        <v>VVTFWG206</v>
      </c>
      <c r="B43" s="278" t="s">
        <v>74</v>
      </c>
      <c r="C43" s="282" t="s">
        <v>76</v>
      </c>
      <c r="D43" s="299">
        <v>6</v>
      </c>
      <c r="E43" s="298">
        <v>13.09</v>
      </c>
      <c r="F43" s="298">
        <v>13.09</v>
      </c>
    </row>
    <row r="44" spans="1:12" s="274" customFormat="1" x14ac:dyDescent="0.25">
      <c r="A44" s="274" t="str">
        <f t="shared" si="0"/>
        <v>VVTFWG207</v>
      </c>
      <c r="B44" s="278" t="s">
        <v>74</v>
      </c>
      <c r="C44" s="282" t="s">
        <v>76</v>
      </c>
      <c r="D44" s="299">
        <v>7</v>
      </c>
      <c r="E44" s="298">
        <v>13.52</v>
      </c>
      <c r="F44" s="298">
        <v>13.52</v>
      </c>
    </row>
    <row r="45" spans="1:12" s="274" customFormat="1" x14ac:dyDescent="0.25">
      <c r="A45" s="274" t="str">
        <f t="shared" si="0"/>
        <v>VVTFWG208</v>
      </c>
      <c r="B45" s="278" t="s">
        <v>74</v>
      </c>
      <c r="C45" s="282" t="s">
        <v>76</v>
      </c>
      <c r="D45" s="299">
        <v>8</v>
      </c>
      <c r="E45" s="298">
        <v>13.92</v>
      </c>
      <c r="F45" s="298">
        <v>13.92</v>
      </c>
      <c r="L45" s="302"/>
    </row>
    <row r="46" spans="1:12" s="274" customFormat="1" x14ac:dyDescent="0.25">
      <c r="A46" s="274" t="str">
        <f t="shared" si="0"/>
        <v/>
      </c>
      <c r="C46" s="303"/>
      <c r="D46" s="304"/>
      <c r="E46" s="305"/>
    </row>
    <row r="47" spans="1:12" s="274" customFormat="1" x14ac:dyDescent="0.25">
      <c r="A47" s="274" t="s">
        <v>147</v>
      </c>
      <c r="B47" s="278" t="s">
        <v>74</v>
      </c>
      <c r="C47" s="306" t="s">
        <v>139</v>
      </c>
      <c r="D47" s="307" t="s">
        <v>13</v>
      </c>
      <c r="E47" s="285" t="s">
        <v>146</v>
      </c>
      <c r="F47" s="308" t="s">
        <v>146</v>
      </c>
    </row>
    <row r="48" spans="1:12" s="274" customFormat="1" x14ac:dyDescent="0.25">
      <c r="A48" s="274" t="str">
        <f t="shared" ref="A48:A59" si="1">B48&amp;C48&amp;D48</f>
        <v>VVTFWG25Aanloopperiodiek 0</v>
      </c>
      <c r="B48" s="278" t="s">
        <v>74</v>
      </c>
      <c r="C48" s="306" t="s">
        <v>139</v>
      </c>
      <c r="D48" s="309" t="s">
        <v>4</v>
      </c>
      <c r="E48" s="293">
        <v>10.74</v>
      </c>
      <c r="F48" s="296">
        <v>10.74</v>
      </c>
    </row>
    <row r="49" spans="1:6" s="274" customFormat="1" x14ac:dyDescent="0.25">
      <c r="A49" s="274" t="str">
        <f t="shared" si="1"/>
        <v>VVTFWG25Aanloopperiodiek 1</v>
      </c>
      <c r="B49" s="278" t="s">
        <v>74</v>
      </c>
      <c r="C49" s="306" t="s">
        <v>139</v>
      </c>
      <c r="D49" s="309" t="s">
        <v>8</v>
      </c>
      <c r="E49" s="293">
        <v>11.02</v>
      </c>
      <c r="F49" s="298">
        <v>11.02</v>
      </c>
    </row>
    <row r="50" spans="1:6" s="274" customFormat="1" x14ac:dyDescent="0.25">
      <c r="A50" s="274" t="str">
        <f t="shared" si="1"/>
        <v>VVTFWG250</v>
      </c>
      <c r="B50" s="278" t="s">
        <v>74</v>
      </c>
      <c r="C50" s="306" t="s">
        <v>139</v>
      </c>
      <c r="D50" s="310">
        <v>0</v>
      </c>
      <c r="E50" s="293">
        <v>11.3</v>
      </c>
      <c r="F50" s="298">
        <v>11.3</v>
      </c>
    </row>
    <row r="51" spans="1:6" s="274" customFormat="1" x14ac:dyDescent="0.25">
      <c r="A51" s="274" t="str">
        <f t="shared" si="1"/>
        <v>VVTFWG251</v>
      </c>
      <c r="B51" s="278" t="s">
        <v>74</v>
      </c>
      <c r="C51" s="306" t="s">
        <v>139</v>
      </c>
      <c r="D51" s="310">
        <v>1</v>
      </c>
      <c r="E51" s="293">
        <v>11.6</v>
      </c>
      <c r="F51" s="298">
        <v>11.6</v>
      </c>
    </row>
    <row r="52" spans="1:6" s="274" customFormat="1" x14ac:dyDescent="0.25">
      <c r="A52" s="274" t="str">
        <f t="shared" si="1"/>
        <v>VVTFWG252</v>
      </c>
      <c r="B52" s="278" t="s">
        <v>74</v>
      </c>
      <c r="C52" s="306" t="s">
        <v>139</v>
      </c>
      <c r="D52" s="310">
        <v>2</v>
      </c>
      <c r="E52" s="293">
        <v>11.92</v>
      </c>
      <c r="F52" s="298">
        <v>11.92</v>
      </c>
    </row>
    <row r="53" spans="1:6" s="274" customFormat="1" x14ac:dyDescent="0.25">
      <c r="A53" s="274" t="str">
        <f t="shared" si="1"/>
        <v>VVTFWG253</v>
      </c>
      <c r="B53" s="278" t="s">
        <v>74</v>
      </c>
      <c r="C53" s="306" t="s">
        <v>139</v>
      </c>
      <c r="D53" s="310">
        <v>3</v>
      </c>
      <c r="E53" s="293">
        <v>12.28</v>
      </c>
      <c r="F53" s="298">
        <v>12.28</v>
      </c>
    </row>
    <row r="54" spans="1:6" s="274" customFormat="1" x14ac:dyDescent="0.25">
      <c r="A54" s="274" t="str">
        <f t="shared" si="1"/>
        <v>VVTFWG254</v>
      </c>
      <c r="B54" s="278" t="s">
        <v>74</v>
      </c>
      <c r="C54" s="306" t="s">
        <v>139</v>
      </c>
      <c r="D54" s="310">
        <v>4</v>
      </c>
      <c r="E54" s="293">
        <v>12.66</v>
      </c>
      <c r="F54" s="298">
        <v>12.66</v>
      </c>
    </row>
    <row r="55" spans="1:6" s="274" customFormat="1" x14ac:dyDescent="0.25">
      <c r="A55" s="274" t="str">
        <f t="shared" si="1"/>
        <v>VVTFWG255</v>
      </c>
      <c r="B55" s="278" t="s">
        <v>74</v>
      </c>
      <c r="C55" s="306" t="s">
        <v>139</v>
      </c>
      <c r="D55" s="310">
        <v>5</v>
      </c>
      <c r="E55" s="293">
        <v>13.09</v>
      </c>
      <c r="F55" s="298">
        <v>13.09</v>
      </c>
    </row>
    <row r="56" spans="1:6" s="274" customFormat="1" x14ac:dyDescent="0.25">
      <c r="A56" s="274" t="str">
        <f t="shared" si="1"/>
        <v>VVTFWG256</v>
      </c>
      <c r="B56" s="278" t="s">
        <v>74</v>
      </c>
      <c r="C56" s="306" t="s">
        <v>139</v>
      </c>
      <c r="D56" s="310">
        <v>6</v>
      </c>
      <c r="E56" s="293">
        <v>13.52</v>
      </c>
      <c r="F56" s="298">
        <v>13.52</v>
      </c>
    </row>
    <row r="57" spans="1:6" s="274" customFormat="1" x14ac:dyDescent="0.25">
      <c r="A57" s="274" t="str">
        <f t="shared" si="1"/>
        <v>VVTFWG257</v>
      </c>
      <c r="B57" s="278" t="s">
        <v>74</v>
      </c>
      <c r="C57" s="306" t="s">
        <v>139</v>
      </c>
      <c r="D57" s="310">
        <v>7</v>
      </c>
      <c r="E57" s="293">
        <v>13.92</v>
      </c>
      <c r="F57" s="298">
        <v>13.92</v>
      </c>
    </row>
    <row r="58" spans="1:6" s="274" customFormat="1" x14ac:dyDescent="0.25">
      <c r="A58" s="274" t="str">
        <f t="shared" si="1"/>
        <v>VVTFWG258</v>
      </c>
      <c r="B58" s="278" t="s">
        <v>74</v>
      </c>
      <c r="C58" s="306" t="s">
        <v>139</v>
      </c>
      <c r="D58" s="310">
        <v>8</v>
      </c>
      <c r="E58" s="293">
        <v>14.37</v>
      </c>
      <c r="F58" s="298">
        <v>14.37</v>
      </c>
    </row>
    <row r="59" spans="1:6" s="274" customFormat="1" x14ac:dyDescent="0.25">
      <c r="A59" s="274" t="str">
        <f t="shared" si="1"/>
        <v>VVTFWG259</v>
      </c>
      <c r="B59" s="278" t="s">
        <v>74</v>
      </c>
      <c r="C59" s="306" t="s">
        <v>139</v>
      </c>
      <c r="D59" s="310">
        <v>9</v>
      </c>
      <c r="E59" s="293">
        <v>14.73</v>
      </c>
      <c r="F59" s="298">
        <v>14.73</v>
      </c>
    </row>
    <row r="60" spans="1:6" s="274" customFormat="1" x14ac:dyDescent="0.25">
      <c r="C60" s="303"/>
      <c r="F60" s="298"/>
    </row>
    <row r="61" spans="1:6" s="274" customFormat="1" x14ac:dyDescent="0.25">
      <c r="C61" s="306" t="s">
        <v>140</v>
      </c>
      <c r="D61" s="311" t="s">
        <v>13</v>
      </c>
      <c r="E61" s="308" t="s">
        <v>146</v>
      </c>
      <c r="F61" s="308" t="s">
        <v>146</v>
      </c>
    </row>
    <row r="62" spans="1:6" s="274" customFormat="1" x14ac:dyDescent="0.25">
      <c r="A62" s="274" t="str">
        <f t="shared" ref="A62:A74" si="2">B62&amp;C62&amp;D62</f>
        <v>VVTFWG30Aanloopperiodiek 0</v>
      </c>
      <c r="B62" s="278" t="s">
        <v>74</v>
      </c>
      <c r="C62" s="306" t="s">
        <v>140</v>
      </c>
      <c r="D62" s="312" t="s">
        <v>4</v>
      </c>
      <c r="E62" s="296">
        <v>10.74</v>
      </c>
      <c r="F62" s="296">
        <v>10.74</v>
      </c>
    </row>
    <row r="63" spans="1:6" s="274" customFormat="1" x14ac:dyDescent="0.25">
      <c r="A63" s="274" t="str">
        <f t="shared" si="2"/>
        <v>VVTFWG30Aanloopperiodiek 1</v>
      </c>
      <c r="B63" s="278" t="s">
        <v>74</v>
      </c>
      <c r="C63" s="306" t="s">
        <v>140</v>
      </c>
      <c r="D63" s="313" t="s">
        <v>8</v>
      </c>
      <c r="E63" s="298">
        <v>11.02</v>
      </c>
      <c r="F63" s="298">
        <v>11.02</v>
      </c>
    </row>
    <row r="64" spans="1:6" s="274" customFormat="1" x14ac:dyDescent="0.25">
      <c r="A64" s="274" t="str">
        <f t="shared" si="2"/>
        <v>VVTFWG300</v>
      </c>
      <c r="B64" s="278" t="s">
        <v>74</v>
      </c>
      <c r="C64" s="306" t="s">
        <v>140</v>
      </c>
      <c r="D64" s="314">
        <v>0</v>
      </c>
      <c r="E64" s="298">
        <v>11.3</v>
      </c>
      <c r="F64" s="298">
        <v>11.3</v>
      </c>
    </row>
    <row r="65" spans="1:11" s="274" customFormat="1" x14ac:dyDescent="0.25">
      <c r="A65" s="274" t="str">
        <f t="shared" si="2"/>
        <v>VVTFWG301</v>
      </c>
      <c r="B65" s="278" t="s">
        <v>74</v>
      </c>
      <c r="C65" s="306" t="s">
        <v>140</v>
      </c>
      <c r="D65" s="314">
        <v>1</v>
      </c>
      <c r="E65" s="298">
        <v>11.6</v>
      </c>
      <c r="F65" s="298">
        <v>11.6</v>
      </c>
    </row>
    <row r="66" spans="1:11" s="274" customFormat="1" x14ac:dyDescent="0.25">
      <c r="A66" s="274" t="str">
        <f t="shared" si="2"/>
        <v>VVTFWG302</v>
      </c>
      <c r="B66" s="278" t="s">
        <v>74</v>
      </c>
      <c r="C66" s="306" t="s">
        <v>140</v>
      </c>
      <c r="D66" s="314">
        <v>2</v>
      </c>
      <c r="E66" s="298">
        <v>11.92</v>
      </c>
      <c r="F66" s="298">
        <v>11.92</v>
      </c>
    </row>
    <row r="67" spans="1:11" s="274" customFormat="1" x14ac:dyDescent="0.25">
      <c r="A67" s="274" t="str">
        <f t="shared" si="2"/>
        <v>VVTFWG303</v>
      </c>
      <c r="B67" s="278" t="s">
        <v>74</v>
      </c>
      <c r="C67" s="306" t="s">
        <v>140</v>
      </c>
      <c r="D67" s="314">
        <v>3</v>
      </c>
      <c r="E67" s="298">
        <v>12.28</v>
      </c>
      <c r="F67" s="298">
        <v>12.28</v>
      </c>
    </row>
    <row r="68" spans="1:11" s="274" customFormat="1" x14ac:dyDescent="0.25">
      <c r="A68" s="274" t="str">
        <f t="shared" si="2"/>
        <v>VVTFWG304</v>
      </c>
      <c r="B68" s="278" t="s">
        <v>74</v>
      </c>
      <c r="C68" s="306" t="s">
        <v>140</v>
      </c>
      <c r="D68" s="314">
        <v>4</v>
      </c>
      <c r="E68" s="298">
        <v>12.66</v>
      </c>
      <c r="F68" s="298">
        <v>12.66</v>
      </c>
    </row>
    <row r="69" spans="1:11" s="274" customFormat="1" x14ac:dyDescent="0.25">
      <c r="A69" s="274" t="str">
        <f t="shared" si="2"/>
        <v>VVTFWG305</v>
      </c>
      <c r="B69" s="278" t="s">
        <v>74</v>
      </c>
      <c r="C69" s="306" t="s">
        <v>140</v>
      </c>
      <c r="D69" s="314">
        <v>5</v>
      </c>
      <c r="E69" s="298">
        <v>13.09</v>
      </c>
      <c r="F69" s="298">
        <v>13.09</v>
      </c>
    </row>
    <row r="70" spans="1:11" s="274" customFormat="1" x14ac:dyDescent="0.25">
      <c r="A70" s="274" t="str">
        <f t="shared" si="2"/>
        <v>VVTFWG306</v>
      </c>
      <c r="B70" s="278" t="s">
        <v>74</v>
      </c>
      <c r="C70" s="306" t="s">
        <v>140</v>
      </c>
      <c r="D70" s="314">
        <v>6</v>
      </c>
      <c r="E70" s="298">
        <v>13.52</v>
      </c>
      <c r="F70" s="298">
        <v>13.52</v>
      </c>
    </row>
    <row r="71" spans="1:11" s="274" customFormat="1" x14ac:dyDescent="0.25">
      <c r="A71" s="274" t="str">
        <f t="shared" si="2"/>
        <v>VVTFWG307</v>
      </c>
      <c r="B71" s="278" t="s">
        <v>74</v>
      </c>
      <c r="C71" s="306" t="s">
        <v>140</v>
      </c>
      <c r="D71" s="314">
        <v>7</v>
      </c>
      <c r="E71" s="298">
        <v>13.92</v>
      </c>
      <c r="F71" s="298">
        <v>13.92</v>
      </c>
    </row>
    <row r="72" spans="1:11" s="274" customFormat="1" x14ac:dyDescent="0.25">
      <c r="A72" s="274" t="str">
        <f t="shared" si="2"/>
        <v>VVTFWG308</v>
      </c>
      <c r="B72" s="278" t="s">
        <v>74</v>
      </c>
      <c r="C72" s="306" t="s">
        <v>140</v>
      </c>
      <c r="D72" s="314">
        <v>8</v>
      </c>
      <c r="E72" s="298">
        <v>14.37</v>
      </c>
      <c r="F72" s="298">
        <v>14.37</v>
      </c>
    </row>
    <row r="73" spans="1:11" s="274" customFormat="1" x14ac:dyDescent="0.25">
      <c r="A73" s="274" t="str">
        <f t="shared" si="2"/>
        <v>VVTFWG309</v>
      </c>
      <c r="B73" s="278" t="s">
        <v>74</v>
      </c>
      <c r="C73" s="306" t="s">
        <v>140</v>
      </c>
      <c r="D73" s="314">
        <v>9</v>
      </c>
      <c r="E73" s="298">
        <v>14.73</v>
      </c>
      <c r="F73" s="298">
        <v>14.73</v>
      </c>
    </row>
    <row r="74" spans="1:11" s="274" customFormat="1" x14ac:dyDescent="0.25">
      <c r="A74" s="274" t="str">
        <f t="shared" si="2"/>
        <v>VVTFWG3010</v>
      </c>
      <c r="B74" s="278" t="s">
        <v>74</v>
      </c>
      <c r="C74" s="306" t="s">
        <v>140</v>
      </c>
      <c r="D74" s="314">
        <v>10</v>
      </c>
      <c r="E74" s="298">
        <v>15.17</v>
      </c>
      <c r="F74" s="298">
        <v>15.17</v>
      </c>
    </row>
    <row r="75" spans="1:11" s="274" customFormat="1" x14ac:dyDescent="0.25">
      <c r="C75" s="303"/>
      <c r="D75" s="304"/>
      <c r="E75" s="305"/>
    </row>
    <row r="76" spans="1:11" s="274" customFormat="1" x14ac:dyDescent="0.25">
      <c r="C76" s="303"/>
      <c r="D76" s="304"/>
      <c r="E76" s="305"/>
    </row>
    <row r="77" spans="1:11" s="274" customFormat="1" x14ac:dyDescent="0.25">
      <c r="A77" s="274" t="str">
        <f t="shared" ref="A77:A140" si="3">B77&amp;C77&amp;D77</f>
        <v/>
      </c>
      <c r="E77" s="315">
        <v>43101</v>
      </c>
      <c r="F77" s="316">
        <v>43101</v>
      </c>
      <c r="G77" s="317"/>
      <c r="H77" s="318" t="s">
        <v>148</v>
      </c>
      <c r="I77" s="318" t="s">
        <v>149</v>
      </c>
    </row>
    <row r="78" spans="1:11" s="274" customFormat="1" ht="37.5" customHeight="1" x14ac:dyDescent="0.25">
      <c r="A78" s="274" t="str">
        <f t="shared" si="3"/>
        <v>VGNFWG10Inpasnr</v>
      </c>
      <c r="B78" s="278" t="s">
        <v>137</v>
      </c>
      <c r="C78" s="281" t="s">
        <v>1</v>
      </c>
      <c r="D78" s="319" t="s">
        <v>150</v>
      </c>
      <c r="E78" s="320" t="s">
        <v>151</v>
      </c>
      <c r="F78" s="320" t="s">
        <v>152</v>
      </c>
      <c r="G78" s="317"/>
      <c r="H78" s="321" t="s">
        <v>153</v>
      </c>
      <c r="I78" s="321" t="s">
        <v>154</v>
      </c>
    </row>
    <row r="79" spans="1:11" s="274" customFormat="1" x14ac:dyDescent="0.15">
      <c r="A79" s="274" t="str">
        <f t="shared" si="3"/>
        <v>VGNFWG102</v>
      </c>
      <c r="B79" s="278" t="s">
        <v>137</v>
      </c>
      <c r="C79" s="281" t="s">
        <v>1</v>
      </c>
      <c r="D79" s="322">
        <v>2</v>
      </c>
      <c r="E79" s="323">
        <v>9.4230769230769234</v>
      </c>
      <c r="F79" s="324">
        <v>10.119999999999999</v>
      </c>
      <c r="G79" s="325"/>
      <c r="H79" s="326">
        <f>E79+E79*1.3%</f>
        <v>9.5455769230769238</v>
      </c>
      <c r="I79" s="327">
        <f>H79+H79*1.3%</f>
        <v>9.6696694230769236</v>
      </c>
      <c r="K79" s="274" t="s">
        <v>145</v>
      </c>
    </row>
    <row r="80" spans="1:11" s="274" customFormat="1" x14ac:dyDescent="0.15">
      <c r="A80" s="274" t="str">
        <f t="shared" si="3"/>
        <v>VGNFWG103</v>
      </c>
      <c r="B80" s="278" t="s">
        <v>137</v>
      </c>
      <c r="C80" s="281" t="s">
        <v>1</v>
      </c>
      <c r="D80" s="322">
        <v>3</v>
      </c>
      <c r="E80" s="323">
        <v>9.5961538461538467</v>
      </c>
      <c r="F80" s="328">
        <v>10.119999999999999</v>
      </c>
      <c r="G80" s="317"/>
      <c r="H80" s="326">
        <f t="shared" ref="H80:H89" si="4">E80+E80*1.3%</f>
        <v>9.7209038461538473</v>
      </c>
      <c r="I80" s="326">
        <f t="shared" ref="I80:I89" si="5">H80+H80*1.3%</f>
        <v>9.8472755961538478</v>
      </c>
      <c r="K80" s="274" t="s">
        <v>145</v>
      </c>
    </row>
    <row r="81" spans="1:11" s="274" customFormat="1" x14ac:dyDescent="0.15">
      <c r="A81" s="274" t="str">
        <f t="shared" si="3"/>
        <v>VGNFWG104</v>
      </c>
      <c r="B81" s="278" t="s">
        <v>137</v>
      </c>
      <c r="C81" s="281" t="s">
        <v>1</v>
      </c>
      <c r="D81" s="322">
        <v>4</v>
      </c>
      <c r="E81" s="323">
        <v>9.967948717948719</v>
      </c>
      <c r="F81" s="328">
        <f t="shared" ref="F81:F89" si="6">I81</f>
        <v>10.228799967948719</v>
      </c>
      <c r="G81" s="317"/>
      <c r="H81" s="326">
        <f t="shared" si="4"/>
        <v>10.097532051282052</v>
      </c>
      <c r="I81" s="326">
        <f t="shared" si="5"/>
        <v>10.228799967948719</v>
      </c>
    </row>
    <row r="82" spans="1:11" s="274" customFormat="1" x14ac:dyDescent="0.15">
      <c r="A82" s="274" t="str">
        <f t="shared" si="3"/>
        <v>VGNFWG105</v>
      </c>
      <c r="B82" s="278" t="s">
        <v>137</v>
      </c>
      <c r="C82" s="281" t="s">
        <v>1</v>
      </c>
      <c r="D82" s="322">
        <v>5</v>
      </c>
      <c r="E82" s="323">
        <v>10.339743589743589</v>
      </c>
      <c r="F82" s="328">
        <f t="shared" si="6"/>
        <v>10.61032433974359</v>
      </c>
      <c r="G82" s="317"/>
      <c r="H82" s="326">
        <f t="shared" si="4"/>
        <v>10.474160256410256</v>
      </c>
      <c r="I82" s="326">
        <f t="shared" si="5"/>
        <v>10.61032433974359</v>
      </c>
    </row>
    <row r="83" spans="1:11" s="274" customFormat="1" x14ac:dyDescent="0.15">
      <c r="A83" s="274" t="str">
        <f t="shared" si="3"/>
        <v>VGNFWG106</v>
      </c>
      <c r="B83" s="278" t="s">
        <v>137</v>
      </c>
      <c r="C83" s="281" t="s">
        <v>1</v>
      </c>
      <c r="D83" s="322">
        <v>6</v>
      </c>
      <c r="E83" s="323">
        <v>10.532051282051281</v>
      </c>
      <c r="F83" s="328">
        <f t="shared" si="6"/>
        <v>10.80766453205128</v>
      </c>
      <c r="G83" s="317"/>
      <c r="H83" s="326">
        <f t="shared" si="4"/>
        <v>10.668967948717947</v>
      </c>
      <c r="I83" s="326">
        <f t="shared" si="5"/>
        <v>10.80766453205128</v>
      </c>
    </row>
    <row r="84" spans="1:11" s="274" customFormat="1" x14ac:dyDescent="0.15">
      <c r="A84" s="274" t="str">
        <f t="shared" si="3"/>
        <v>VGNFWG107</v>
      </c>
      <c r="B84" s="278" t="s">
        <v>137</v>
      </c>
      <c r="C84" s="281" t="s">
        <v>1</v>
      </c>
      <c r="D84" s="322">
        <v>7</v>
      </c>
      <c r="E84" s="323">
        <v>10.820512820512821</v>
      </c>
      <c r="F84" s="328">
        <f t="shared" si="6"/>
        <v>11.10367482051282</v>
      </c>
      <c r="G84" s="317"/>
      <c r="H84" s="326">
        <f t="shared" si="4"/>
        <v>10.961179487179487</v>
      </c>
      <c r="I84" s="326">
        <f t="shared" si="5"/>
        <v>11.10367482051282</v>
      </c>
    </row>
    <row r="85" spans="1:11" s="274" customFormat="1" x14ac:dyDescent="0.15">
      <c r="A85" s="274" t="str">
        <f t="shared" si="3"/>
        <v>VGNFWG108</v>
      </c>
      <c r="B85" s="278" t="s">
        <v>137</v>
      </c>
      <c r="C85" s="281" t="s">
        <v>1</v>
      </c>
      <c r="D85" s="322">
        <v>8</v>
      </c>
      <c r="E85" s="323">
        <v>11.096153846153847</v>
      </c>
      <c r="F85" s="328">
        <f t="shared" si="6"/>
        <v>11.386529096153847</v>
      </c>
      <c r="G85" s="317"/>
      <c r="H85" s="326">
        <f t="shared" si="4"/>
        <v>11.240403846153846</v>
      </c>
      <c r="I85" s="326">
        <f t="shared" si="5"/>
        <v>11.386529096153847</v>
      </c>
    </row>
    <row r="86" spans="1:11" s="274" customFormat="1" x14ac:dyDescent="0.15">
      <c r="A86" s="274" t="str">
        <f t="shared" si="3"/>
        <v>VGNFWG109</v>
      </c>
      <c r="B86" s="278" t="s">
        <v>137</v>
      </c>
      <c r="C86" s="281" t="s">
        <v>1</v>
      </c>
      <c r="D86" s="322">
        <v>9</v>
      </c>
      <c r="E86" s="323">
        <v>11.384615384615385</v>
      </c>
      <c r="F86" s="328">
        <f t="shared" si="6"/>
        <v>11.682539384615385</v>
      </c>
      <c r="G86" s="317"/>
      <c r="H86" s="326">
        <f t="shared" si="4"/>
        <v>11.532615384615385</v>
      </c>
      <c r="I86" s="326">
        <f t="shared" si="5"/>
        <v>11.682539384615385</v>
      </c>
    </row>
    <row r="87" spans="1:11" s="274" customFormat="1" x14ac:dyDescent="0.15">
      <c r="A87" s="274" t="str">
        <f t="shared" si="3"/>
        <v>VGNFWG1010</v>
      </c>
      <c r="B87" s="278" t="s">
        <v>137</v>
      </c>
      <c r="C87" s="281" t="s">
        <v>1</v>
      </c>
      <c r="D87" s="322">
        <v>10</v>
      </c>
      <c r="E87" s="323">
        <v>11.705128205128204</v>
      </c>
      <c r="F87" s="328">
        <f t="shared" si="6"/>
        <v>12.011439705128204</v>
      </c>
      <c r="G87" s="317"/>
      <c r="H87" s="326">
        <f t="shared" si="4"/>
        <v>11.857294871794871</v>
      </c>
      <c r="I87" s="326">
        <f t="shared" si="5"/>
        <v>12.011439705128204</v>
      </c>
    </row>
    <row r="88" spans="1:11" s="274" customFormat="1" x14ac:dyDescent="0.15">
      <c r="A88" s="274" t="str">
        <f t="shared" si="3"/>
        <v>VGNFWG1011</v>
      </c>
      <c r="B88" s="278" t="s">
        <v>137</v>
      </c>
      <c r="C88" s="281" t="s">
        <v>1</v>
      </c>
      <c r="D88" s="322">
        <v>11</v>
      </c>
      <c r="E88" s="323">
        <v>12.064102564102564</v>
      </c>
      <c r="F88" s="328">
        <f t="shared" si="6"/>
        <v>12.379808064102564</v>
      </c>
      <c r="G88" s="317"/>
      <c r="H88" s="326">
        <f t="shared" si="4"/>
        <v>12.220935897435897</v>
      </c>
      <c r="I88" s="326">
        <f t="shared" si="5"/>
        <v>12.379808064102564</v>
      </c>
    </row>
    <row r="89" spans="1:11" s="274" customFormat="1" x14ac:dyDescent="0.15">
      <c r="A89" s="274" t="str">
        <f t="shared" si="3"/>
        <v>VGNFWG1012</v>
      </c>
      <c r="B89" s="278" t="s">
        <v>137</v>
      </c>
      <c r="C89" s="281" t="s">
        <v>1</v>
      </c>
      <c r="D89" s="322">
        <v>12</v>
      </c>
      <c r="E89" s="323">
        <v>12.435897435897436</v>
      </c>
      <c r="F89" s="328">
        <f t="shared" si="6"/>
        <v>12.761332435897437</v>
      </c>
      <c r="G89" s="317"/>
      <c r="H89" s="326">
        <f t="shared" si="4"/>
        <v>12.597564102564103</v>
      </c>
      <c r="I89" s="326">
        <f t="shared" si="5"/>
        <v>12.761332435897437</v>
      </c>
    </row>
    <row r="90" spans="1:11" s="274" customFormat="1" x14ac:dyDescent="0.15">
      <c r="A90" s="274" t="str">
        <f t="shared" si="3"/>
        <v/>
      </c>
      <c r="D90" s="329"/>
      <c r="E90" s="330"/>
      <c r="F90" s="329"/>
      <c r="G90" s="317"/>
    </row>
    <row r="91" spans="1:11" s="274" customFormat="1" x14ac:dyDescent="0.15">
      <c r="A91" s="274" t="str">
        <f t="shared" si="3"/>
        <v/>
      </c>
      <c r="D91" s="331"/>
      <c r="E91" s="332"/>
      <c r="F91" s="329"/>
      <c r="G91" s="317"/>
    </row>
    <row r="92" spans="1:11" s="274" customFormat="1" x14ac:dyDescent="0.25">
      <c r="A92" s="274" t="str">
        <f t="shared" si="3"/>
        <v>VGNFWG15Inpasnr</v>
      </c>
      <c r="B92" s="278" t="s">
        <v>137</v>
      </c>
      <c r="C92" s="281" t="s">
        <v>2</v>
      </c>
      <c r="D92" s="319" t="s">
        <v>150</v>
      </c>
      <c r="E92" s="320" t="s">
        <v>151</v>
      </c>
      <c r="F92" s="320" t="s">
        <v>152</v>
      </c>
      <c r="G92" s="317"/>
      <c r="H92" s="333" t="s">
        <v>155</v>
      </c>
      <c r="I92" s="333" t="s">
        <v>155</v>
      </c>
    </row>
    <row r="93" spans="1:11" s="274" customFormat="1" x14ac:dyDescent="0.15">
      <c r="A93" s="274" t="str">
        <f t="shared" si="3"/>
        <v>VGNFWG153</v>
      </c>
      <c r="B93" s="278" t="s">
        <v>137</v>
      </c>
      <c r="C93" s="281" t="s">
        <v>2</v>
      </c>
      <c r="D93" s="334">
        <v>3</v>
      </c>
      <c r="E93" s="335">
        <v>9.5961538461538467</v>
      </c>
      <c r="F93" s="324">
        <v>10.119999999999999</v>
      </c>
      <c r="G93" s="317"/>
      <c r="H93" s="326">
        <f t="shared" ref="H93:H149" si="7">E93+E93*1.3%</f>
        <v>9.7209038461538473</v>
      </c>
      <c r="I93" s="326">
        <f t="shared" ref="I93:I149" si="8">H93+H93*1.3%</f>
        <v>9.8472755961538478</v>
      </c>
      <c r="K93" s="274" t="s">
        <v>156</v>
      </c>
    </row>
    <row r="94" spans="1:11" s="274" customFormat="1" x14ac:dyDescent="0.15">
      <c r="A94" s="274" t="str">
        <f t="shared" si="3"/>
        <v>VGNFWG154</v>
      </c>
      <c r="B94" s="278" t="s">
        <v>137</v>
      </c>
      <c r="C94" s="281" t="s">
        <v>2</v>
      </c>
      <c r="D94" s="322">
        <v>4</v>
      </c>
      <c r="E94" s="323">
        <v>9.967948717948719</v>
      </c>
      <c r="F94" s="328">
        <f t="shared" ref="F94:F149" si="9">I94</f>
        <v>10.228799967948719</v>
      </c>
      <c r="G94" s="317"/>
      <c r="H94" s="326">
        <f t="shared" si="7"/>
        <v>10.097532051282052</v>
      </c>
      <c r="I94" s="326">
        <f t="shared" si="8"/>
        <v>10.228799967948719</v>
      </c>
    </row>
    <row r="95" spans="1:11" s="274" customFormat="1" x14ac:dyDescent="0.15">
      <c r="A95" s="274" t="str">
        <f t="shared" si="3"/>
        <v>VGNFWG155</v>
      </c>
      <c r="B95" s="278" t="s">
        <v>137</v>
      </c>
      <c r="C95" s="281" t="s">
        <v>2</v>
      </c>
      <c r="D95" s="322">
        <v>5</v>
      </c>
      <c r="E95" s="323">
        <v>10.339743589743589</v>
      </c>
      <c r="F95" s="328">
        <f t="shared" si="9"/>
        <v>10.61032433974359</v>
      </c>
      <c r="G95" s="317"/>
      <c r="H95" s="326">
        <f t="shared" si="7"/>
        <v>10.474160256410256</v>
      </c>
      <c r="I95" s="326">
        <f t="shared" si="8"/>
        <v>10.61032433974359</v>
      </c>
    </row>
    <row r="96" spans="1:11" s="274" customFormat="1" x14ac:dyDescent="0.15">
      <c r="A96" s="274" t="str">
        <f t="shared" si="3"/>
        <v>VGNFWG156</v>
      </c>
      <c r="B96" s="278" t="s">
        <v>137</v>
      </c>
      <c r="C96" s="281" t="s">
        <v>2</v>
      </c>
      <c r="D96" s="322">
        <v>6</v>
      </c>
      <c r="E96" s="323">
        <v>10.532051282051281</v>
      </c>
      <c r="F96" s="328">
        <f t="shared" si="9"/>
        <v>10.80766453205128</v>
      </c>
      <c r="G96" s="317"/>
      <c r="H96" s="326">
        <f t="shared" si="7"/>
        <v>10.668967948717947</v>
      </c>
      <c r="I96" s="326">
        <f t="shared" si="8"/>
        <v>10.80766453205128</v>
      </c>
    </row>
    <row r="97" spans="1:9" s="274" customFormat="1" x14ac:dyDescent="0.15">
      <c r="A97" s="274" t="str">
        <f t="shared" si="3"/>
        <v>VGNFWG157</v>
      </c>
      <c r="B97" s="278" t="s">
        <v>137</v>
      </c>
      <c r="C97" s="281" t="s">
        <v>2</v>
      </c>
      <c r="D97" s="322">
        <v>7</v>
      </c>
      <c r="E97" s="323">
        <v>10.820512820512821</v>
      </c>
      <c r="F97" s="328">
        <f t="shared" si="9"/>
        <v>11.10367482051282</v>
      </c>
      <c r="G97" s="317"/>
      <c r="H97" s="326">
        <f t="shared" si="7"/>
        <v>10.961179487179487</v>
      </c>
      <c r="I97" s="326">
        <f t="shared" si="8"/>
        <v>11.10367482051282</v>
      </c>
    </row>
    <row r="98" spans="1:9" s="274" customFormat="1" x14ac:dyDescent="0.15">
      <c r="A98" s="274" t="str">
        <f t="shared" si="3"/>
        <v>VGNFWG158</v>
      </c>
      <c r="B98" s="278" t="s">
        <v>137</v>
      </c>
      <c r="C98" s="281" t="s">
        <v>2</v>
      </c>
      <c r="D98" s="322">
        <v>8</v>
      </c>
      <c r="E98" s="323">
        <v>11.096153846153847</v>
      </c>
      <c r="F98" s="328">
        <f t="shared" si="9"/>
        <v>11.386529096153847</v>
      </c>
      <c r="G98" s="317"/>
      <c r="H98" s="326">
        <f t="shared" si="7"/>
        <v>11.240403846153846</v>
      </c>
      <c r="I98" s="326">
        <f t="shared" si="8"/>
        <v>11.386529096153847</v>
      </c>
    </row>
    <row r="99" spans="1:9" s="274" customFormat="1" x14ac:dyDescent="0.15">
      <c r="A99" s="274" t="str">
        <f t="shared" si="3"/>
        <v>VGNFWG159</v>
      </c>
      <c r="B99" s="278" t="s">
        <v>137</v>
      </c>
      <c r="C99" s="281" t="s">
        <v>2</v>
      </c>
      <c r="D99" s="322">
        <v>9</v>
      </c>
      <c r="E99" s="323">
        <v>11.384615384615385</v>
      </c>
      <c r="F99" s="328">
        <f t="shared" si="9"/>
        <v>11.682539384615385</v>
      </c>
      <c r="G99" s="317"/>
      <c r="H99" s="326">
        <f t="shared" si="7"/>
        <v>11.532615384615385</v>
      </c>
      <c r="I99" s="326">
        <f t="shared" si="8"/>
        <v>11.682539384615385</v>
      </c>
    </row>
    <row r="100" spans="1:9" s="274" customFormat="1" x14ac:dyDescent="0.15">
      <c r="A100" s="274" t="str">
        <f t="shared" si="3"/>
        <v>VGNFWG1510</v>
      </c>
      <c r="B100" s="278" t="s">
        <v>137</v>
      </c>
      <c r="C100" s="281" t="s">
        <v>2</v>
      </c>
      <c r="D100" s="322">
        <v>10</v>
      </c>
      <c r="E100" s="323">
        <v>11.705128205128204</v>
      </c>
      <c r="F100" s="328">
        <f t="shared" si="9"/>
        <v>12.011439705128204</v>
      </c>
      <c r="G100" s="317"/>
      <c r="H100" s="326">
        <f t="shared" si="7"/>
        <v>11.857294871794871</v>
      </c>
      <c r="I100" s="326">
        <f t="shared" si="8"/>
        <v>12.011439705128204</v>
      </c>
    </row>
    <row r="101" spans="1:9" s="274" customFormat="1" x14ac:dyDescent="0.15">
      <c r="A101" s="274" t="str">
        <f t="shared" si="3"/>
        <v>VGNFWG1511</v>
      </c>
      <c r="B101" s="278" t="s">
        <v>137</v>
      </c>
      <c r="C101" s="281" t="s">
        <v>2</v>
      </c>
      <c r="D101" s="322">
        <v>11</v>
      </c>
      <c r="E101" s="323">
        <v>12.064102564102564</v>
      </c>
      <c r="F101" s="328">
        <f t="shared" si="9"/>
        <v>12.379808064102564</v>
      </c>
      <c r="G101" s="317"/>
      <c r="H101" s="326">
        <f t="shared" si="7"/>
        <v>12.220935897435897</v>
      </c>
      <c r="I101" s="326">
        <f t="shared" si="8"/>
        <v>12.379808064102564</v>
      </c>
    </row>
    <row r="102" spans="1:9" s="274" customFormat="1" x14ac:dyDescent="0.15">
      <c r="A102" s="274" t="str">
        <f t="shared" si="3"/>
        <v>VGNFWG1512</v>
      </c>
      <c r="B102" s="278" t="s">
        <v>137</v>
      </c>
      <c r="C102" s="281" t="s">
        <v>2</v>
      </c>
      <c r="D102" s="322">
        <v>12</v>
      </c>
      <c r="E102" s="323">
        <v>12.435897435897436</v>
      </c>
      <c r="F102" s="328">
        <f t="shared" si="9"/>
        <v>12.761332435897437</v>
      </c>
      <c r="G102" s="317"/>
      <c r="H102" s="326">
        <f t="shared" si="7"/>
        <v>12.597564102564103</v>
      </c>
      <c r="I102" s="326">
        <f t="shared" si="8"/>
        <v>12.761332435897437</v>
      </c>
    </row>
    <row r="103" spans="1:9" s="274" customFormat="1" x14ac:dyDescent="0.15">
      <c r="A103" s="274" t="str">
        <f t="shared" si="3"/>
        <v>VGNFWG1513</v>
      </c>
      <c r="B103" s="278" t="s">
        <v>137</v>
      </c>
      <c r="C103" s="281" t="s">
        <v>2</v>
      </c>
      <c r="D103" s="322">
        <v>13</v>
      </c>
      <c r="E103" s="323">
        <v>12.846153846153847</v>
      </c>
      <c r="F103" s="328">
        <f t="shared" si="9"/>
        <v>13.182324846153847</v>
      </c>
      <c r="G103" s="317"/>
      <c r="H103" s="326">
        <f t="shared" si="7"/>
        <v>13.013153846153847</v>
      </c>
      <c r="I103" s="326">
        <f t="shared" si="8"/>
        <v>13.182324846153847</v>
      </c>
    </row>
    <row r="104" spans="1:9" s="274" customFormat="1" x14ac:dyDescent="0.15">
      <c r="A104" s="274" t="str">
        <f t="shared" si="3"/>
        <v>VGNFWG1514</v>
      </c>
      <c r="B104" s="278" t="s">
        <v>137</v>
      </c>
      <c r="C104" s="281" t="s">
        <v>2</v>
      </c>
      <c r="D104" s="322">
        <v>14</v>
      </c>
      <c r="E104" s="323">
        <v>13.275641025641026</v>
      </c>
      <c r="F104" s="328">
        <f t="shared" si="9"/>
        <v>13.623051275641027</v>
      </c>
      <c r="G104" s="317"/>
      <c r="H104" s="326">
        <f t="shared" si="7"/>
        <v>13.448224358974359</v>
      </c>
      <c r="I104" s="326">
        <f t="shared" si="8"/>
        <v>13.623051275641027</v>
      </c>
    </row>
    <row r="105" spans="1:9" s="274" customFormat="1" x14ac:dyDescent="0.15">
      <c r="A105" s="274" t="str">
        <f t="shared" si="3"/>
        <v/>
      </c>
      <c r="D105" s="329"/>
      <c r="E105" s="330"/>
      <c r="F105" s="330"/>
      <c r="G105" s="336"/>
      <c r="H105" s="330"/>
      <c r="I105" s="330"/>
    </row>
    <row r="106" spans="1:9" s="274" customFormat="1" x14ac:dyDescent="0.15">
      <c r="A106" s="274" t="str">
        <f t="shared" si="3"/>
        <v/>
      </c>
      <c r="D106" s="331"/>
      <c r="E106" s="332"/>
      <c r="F106" s="332"/>
      <c r="G106" s="337"/>
      <c r="H106" s="332"/>
      <c r="I106" s="332"/>
    </row>
    <row r="107" spans="1:9" s="274" customFormat="1" x14ac:dyDescent="0.25">
      <c r="A107" s="274" t="str">
        <f t="shared" si="3"/>
        <v>VGNFWG20Inpasnr</v>
      </c>
      <c r="B107" s="278" t="s">
        <v>137</v>
      </c>
      <c r="C107" s="281" t="s">
        <v>76</v>
      </c>
      <c r="D107" s="319" t="s">
        <v>150</v>
      </c>
      <c r="E107" s="320" t="s">
        <v>151</v>
      </c>
      <c r="F107" s="320" t="s">
        <v>152</v>
      </c>
      <c r="G107" s="317"/>
      <c r="H107" s="333" t="s">
        <v>155</v>
      </c>
      <c r="I107" s="333" t="s">
        <v>155</v>
      </c>
    </row>
    <row r="108" spans="1:9" s="274" customFormat="1" x14ac:dyDescent="0.15">
      <c r="A108" s="274" t="str">
        <f t="shared" si="3"/>
        <v>VGNFWG204</v>
      </c>
      <c r="B108" s="278" t="s">
        <v>137</v>
      </c>
      <c r="C108" s="281" t="s">
        <v>76</v>
      </c>
      <c r="D108" s="334">
        <v>4</v>
      </c>
      <c r="E108" s="335">
        <v>9.967948717948719</v>
      </c>
      <c r="F108" s="328">
        <f t="shared" si="9"/>
        <v>10.228799967948719</v>
      </c>
      <c r="G108" s="317"/>
      <c r="H108" s="326">
        <f t="shared" si="7"/>
        <v>10.097532051282052</v>
      </c>
      <c r="I108" s="326">
        <f t="shared" si="8"/>
        <v>10.228799967948719</v>
      </c>
    </row>
    <row r="109" spans="1:9" s="274" customFormat="1" x14ac:dyDescent="0.15">
      <c r="A109" s="274" t="str">
        <f t="shared" si="3"/>
        <v>VGNFWG206</v>
      </c>
      <c r="B109" s="278" t="s">
        <v>137</v>
      </c>
      <c r="C109" s="281" t="s">
        <v>76</v>
      </c>
      <c r="D109" s="322">
        <v>6</v>
      </c>
      <c r="E109" s="323">
        <v>10.532051282051281</v>
      </c>
      <c r="F109" s="328">
        <f t="shared" si="9"/>
        <v>10.80766453205128</v>
      </c>
      <c r="G109" s="317"/>
      <c r="H109" s="326">
        <f t="shared" si="7"/>
        <v>10.668967948717947</v>
      </c>
      <c r="I109" s="326">
        <f t="shared" si="8"/>
        <v>10.80766453205128</v>
      </c>
    </row>
    <row r="110" spans="1:9" s="274" customFormat="1" x14ac:dyDescent="0.15">
      <c r="A110" s="274" t="str">
        <f t="shared" si="3"/>
        <v>VGNFWG207</v>
      </c>
      <c r="B110" s="278" t="s">
        <v>137</v>
      </c>
      <c r="C110" s="281" t="s">
        <v>76</v>
      </c>
      <c r="D110" s="322">
        <v>7</v>
      </c>
      <c r="E110" s="323">
        <v>10.820512820512821</v>
      </c>
      <c r="F110" s="328">
        <f t="shared" si="9"/>
        <v>11.10367482051282</v>
      </c>
      <c r="G110" s="317"/>
      <c r="H110" s="326">
        <f t="shared" si="7"/>
        <v>10.961179487179487</v>
      </c>
      <c r="I110" s="326">
        <f t="shared" si="8"/>
        <v>11.10367482051282</v>
      </c>
    </row>
    <row r="111" spans="1:9" s="274" customFormat="1" x14ac:dyDescent="0.15">
      <c r="A111" s="274" t="str">
        <f t="shared" si="3"/>
        <v>VGNFWG208</v>
      </c>
      <c r="B111" s="278" t="s">
        <v>137</v>
      </c>
      <c r="C111" s="281" t="s">
        <v>76</v>
      </c>
      <c r="D111" s="322">
        <v>8</v>
      </c>
      <c r="E111" s="323">
        <v>11.096153846153847</v>
      </c>
      <c r="F111" s="328">
        <f t="shared" si="9"/>
        <v>11.386529096153847</v>
      </c>
      <c r="G111" s="317"/>
      <c r="H111" s="326">
        <f t="shared" si="7"/>
        <v>11.240403846153846</v>
      </c>
      <c r="I111" s="326">
        <f t="shared" si="8"/>
        <v>11.386529096153847</v>
      </c>
    </row>
    <row r="112" spans="1:9" s="274" customFormat="1" x14ac:dyDescent="0.15">
      <c r="A112" s="274" t="str">
        <f t="shared" si="3"/>
        <v>VGNFWG209</v>
      </c>
      <c r="B112" s="278" t="s">
        <v>137</v>
      </c>
      <c r="C112" s="281" t="s">
        <v>76</v>
      </c>
      <c r="D112" s="322">
        <v>9</v>
      </c>
      <c r="E112" s="323">
        <v>11.384615384615385</v>
      </c>
      <c r="F112" s="328">
        <f t="shared" si="9"/>
        <v>11.682539384615385</v>
      </c>
      <c r="G112" s="317"/>
      <c r="H112" s="326">
        <f t="shared" si="7"/>
        <v>11.532615384615385</v>
      </c>
      <c r="I112" s="326">
        <f t="shared" si="8"/>
        <v>11.682539384615385</v>
      </c>
    </row>
    <row r="113" spans="1:10" s="274" customFormat="1" x14ac:dyDescent="0.15">
      <c r="A113" s="274" t="str">
        <f t="shared" si="3"/>
        <v>VGNFWG2010</v>
      </c>
      <c r="B113" s="278" t="s">
        <v>137</v>
      </c>
      <c r="C113" s="281" t="s">
        <v>76</v>
      </c>
      <c r="D113" s="322">
        <v>10</v>
      </c>
      <c r="E113" s="323">
        <v>11.705128205128204</v>
      </c>
      <c r="F113" s="328">
        <f t="shared" si="9"/>
        <v>12.011439705128204</v>
      </c>
      <c r="G113" s="317"/>
      <c r="H113" s="326">
        <f t="shared" si="7"/>
        <v>11.857294871794871</v>
      </c>
      <c r="I113" s="326">
        <f t="shared" si="8"/>
        <v>12.011439705128204</v>
      </c>
    </row>
    <row r="114" spans="1:10" s="274" customFormat="1" x14ac:dyDescent="0.15">
      <c r="A114" s="274" t="str">
        <f t="shared" si="3"/>
        <v>VGNFWG2011</v>
      </c>
      <c r="B114" s="278" t="s">
        <v>137</v>
      </c>
      <c r="C114" s="281" t="s">
        <v>76</v>
      </c>
      <c r="D114" s="322">
        <v>11</v>
      </c>
      <c r="E114" s="323">
        <v>12.064102564102564</v>
      </c>
      <c r="F114" s="328">
        <f t="shared" si="9"/>
        <v>12.379808064102564</v>
      </c>
      <c r="G114" s="317"/>
      <c r="H114" s="326">
        <f t="shared" si="7"/>
        <v>12.220935897435897</v>
      </c>
      <c r="I114" s="326">
        <f t="shared" si="8"/>
        <v>12.379808064102564</v>
      </c>
    </row>
    <row r="115" spans="1:10" s="274" customFormat="1" x14ac:dyDescent="0.15">
      <c r="A115" s="274" t="str">
        <f t="shared" si="3"/>
        <v>VGNFWG2012</v>
      </c>
      <c r="B115" s="278" t="s">
        <v>137</v>
      </c>
      <c r="C115" s="281" t="s">
        <v>76</v>
      </c>
      <c r="D115" s="322">
        <v>12</v>
      </c>
      <c r="E115" s="323">
        <v>12.435897435897436</v>
      </c>
      <c r="F115" s="328">
        <f t="shared" si="9"/>
        <v>12.761332435897437</v>
      </c>
      <c r="G115" s="317"/>
      <c r="H115" s="326">
        <f t="shared" si="7"/>
        <v>12.597564102564103</v>
      </c>
      <c r="I115" s="326">
        <f t="shared" si="8"/>
        <v>12.761332435897437</v>
      </c>
    </row>
    <row r="116" spans="1:10" s="274" customFormat="1" x14ac:dyDescent="0.15">
      <c r="A116" s="274" t="str">
        <f t="shared" si="3"/>
        <v>VGNFWG2013</v>
      </c>
      <c r="B116" s="278" t="s">
        <v>137</v>
      </c>
      <c r="C116" s="281" t="s">
        <v>76</v>
      </c>
      <c r="D116" s="322">
        <v>13</v>
      </c>
      <c r="E116" s="323">
        <v>12.846153846153847</v>
      </c>
      <c r="F116" s="328">
        <f t="shared" si="9"/>
        <v>13.182324846153847</v>
      </c>
      <c r="G116" s="317"/>
      <c r="H116" s="326">
        <f t="shared" si="7"/>
        <v>13.013153846153847</v>
      </c>
      <c r="I116" s="326">
        <f t="shared" si="8"/>
        <v>13.182324846153847</v>
      </c>
    </row>
    <row r="117" spans="1:10" s="274" customFormat="1" x14ac:dyDescent="0.15">
      <c r="A117" s="274" t="str">
        <f t="shared" si="3"/>
        <v>VGNFWG2014</v>
      </c>
      <c r="B117" s="278" t="s">
        <v>137</v>
      </c>
      <c r="C117" s="281" t="s">
        <v>76</v>
      </c>
      <c r="D117" s="322">
        <v>14</v>
      </c>
      <c r="E117" s="323">
        <v>13.275641025641026</v>
      </c>
      <c r="F117" s="328">
        <f t="shared" si="9"/>
        <v>13.623051275641027</v>
      </c>
      <c r="G117" s="317"/>
      <c r="H117" s="326">
        <f t="shared" si="7"/>
        <v>13.448224358974359</v>
      </c>
      <c r="I117" s="326">
        <f t="shared" si="8"/>
        <v>13.623051275641027</v>
      </c>
    </row>
    <row r="118" spans="1:10" s="274" customFormat="1" x14ac:dyDescent="0.15">
      <c r="A118" s="274" t="str">
        <f t="shared" si="3"/>
        <v>VGNFWG2015</v>
      </c>
      <c r="B118" s="278" t="s">
        <v>137</v>
      </c>
      <c r="C118" s="281" t="s">
        <v>76</v>
      </c>
      <c r="D118" s="322">
        <v>15</v>
      </c>
      <c r="E118" s="323">
        <v>13.666666666666666</v>
      </c>
      <c r="F118" s="328">
        <f t="shared" si="9"/>
        <v>14.024309666666667</v>
      </c>
      <c r="G118" s="317"/>
      <c r="H118" s="326">
        <f t="shared" si="7"/>
        <v>13.844333333333333</v>
      </c>
      <c r="I118" s="326">
        <f t="shared" si="8"/>
        <v>14.024309666666667</v>
      </c>
    </row>
    <row r="119" spans="1:10" s="274" customFormat="1" x14ac:dyDescent="0.15">
      <c r="A119" s="274" t="str">
        <f t="shared" si="3"/>
        <v>VGNFWG2016</v>
      </c>
      <c r="B119" s="278" t="s">
        <v>137</v>
      </c>
      <c r="C119" s="281" t="s">
        <v>76</v>
      </c>
      <c r="D119" s="322">
        <v>16</v>
      </c>
      <c r="E119" s="323">
        <v>14.102564102564102</v>
      </c>
      <c r="F119" s="328">
        <f t="shared" si="9"/>
        <v>14.471614102564102</v>
      </c>
      <c r="G119" s="317"/>
      <c r="H119" s="326">
        <f t="shared" si="7"/>
        <v>14.285897435897436</v>
      </c>
      <c r="I119" s="326">
        <f t="shared" si="8"/>
        <v>14.471614102564102</v>
      </c>
    </row>
    <row r="120" spans="1:10" s="274" customFormat="1" x14ac:dyDescent="0.15">
      <c r="A120" s="274" t="str">
        <f t="shared" si="3"/>
        <v/>
      </c>
      <c r="D120" s="329"/>
      <c r="E120" s="330"/>
      <c r="F120" s="330"/>
      <c r="G120" s="336"/>
      <c r="H120" s="330"/>
      <c r="I120" s="330"/>
      <c r="J120" s="330"/>
    </row>
    <row r="121" spans="1:10" s="274" customFormat="1" x14ac:dyDescent="0.15">
      <c r="A121" s="274" t="str">
        <f t="shared" si="3"/>
        <v/>
      </c>
      <c r="D121" s="331"/>
      <c r="E121" s="332"/>
      <c r="F121" s="332"/>
      <c r="G121" s="337"/>
      <c r="H121" s="332"/>
      <c r="I121" s="332"/>
      <c r="J121" s="332"/>
    </row>
    <row r="122" spans="1:10" s="274" customFormat="1" x14ac:dyDescent="0.25">
      <c r="A122" s="274" t="str">
        <f t="shared" si="3"/>
        <v>VGNFWG25Inpasnr</v>
      </c>
      <c r="B122" s="278" t="s">
        <v>137</v>
      </c>
      <c r="C122" s="281" t="s">
        <v>139</v>
      </c>
      <c r="D122" s="319" t="s">
        <v>150</v>
      </c>
      <c r="E122" s="320" t="s">
        <v>151</v>
      </c>
      <c r="F122" s="320" t="s">
        <v>152</v>
      </c>
      <c r="G122" s="317"/>
      <c r="H122" s="333" t="s">
        <v>155</v>
      </c>
      <c r="I122" s="333" t="s">
        <v>155</v>
      </c>
    </row>
    <row r="123" spans="1:10" s="274" customFormat="1" x14ac:dyDescent="0.15">
      <c r="A123" s="274" t="str">
        <f t="shared" si="3"/>
        <v>VGNFWG255</v>
      </c>
      <c r="B123" s="278" t="s">
        <v>137</v>
      </c>
      <c r="C123" s="281" t="s">
        <v>139</v>
      </c>
      <c r="D123" s="334">
        <v>5</v>
      </c>
      <c r="E123" s="335">
        <v>10.339743589743589</v>
      </c>
      <c r="F123" s="328">
        <f t="shared" si="9"/>
        <v>10.61032433974359</v>
      </c>
      <c r="G123" s="317"/>
      <c r="H123" s="326">
        <f t="shared" si="7"/>
        <v>10.474160256410256</v>
      </c>
      <c r="I123" s="326">
        <f t="shared" si="8"/>
        <v>10.61032433974359</v>
      </c>
    </row>
    <row r="124" spans="1:10" s="274" customFormat="1" x14ac:dyDescent="0.15">
      <c r="A124" s="274" t="str">
        <f t="shared" si="3"/>
        <v>VGNFWG257</v>
      </c>
      <c r="B124" s="278" t="s">
        <v>137</v>
      </c>
      <c r="C124" s="281" t="s">
        <v>139</v>
      </c>
      <c r="D124" s="322">
        <v>7</v>
      </c>
      <c r="E124" s="323">
        <v>10.820512820512821</v>
      </c>
      <c r="F124" s="328">
        <f t="shared" si="9"/>
        <v>11.10367482051282</v>
      </c>
      <c r="G124" s="317"/>
      <c r="H124" s="326">
        <f t="shared" si="7"/>
        <v>10.961179487179487</v>
      </c>
      <c r="I124" s="326">
        <f t="shared" si="8"/>
        <v>11.10367482051282</v>
      </c>
    </row>
    <row r="125" spans="1:10" s="274" customFormat="1" x14ac:dyDescent="0.15">
      <c r="A125" s="274" t="str">
        <f t="shared" si="3"/>
        <v>VGNFWG259</v>
      </c>
      <c r="B125" s="278" t="s">
        <v>137</v>
      </c>
      <c r="C125" s="281" t="s">
        <v>139</v>
      </c>
      <c r="D125" s="322">
        <v>9</v>
      </c>
      <c r="E125" s="323">
        <v>11.384615384615385</v>
      </c>
      <c r="F125" s="328">
        <f t="shared" si="9"/>
        <v>11.682539384615385</v>
      </c>
      <c r="G125" s="317"/>
      <c r="H125" s="326">
        <f t="shared" si="7"/>
        <v>11.532615384615385</v>
      </c>
      <c r="I125" s="326">
        <f t="shared" si="8"/>
        <v>11.682539384615385</v>
      </c>
    </row>
    <row r="126" spans="1:10" s="274" customFormat="1" x14ac:dyDescent="0.15">
      <c r="A126" s="274" t="str">
        <f t="shared" si="3"/>
        <v>VGNFWG2510</v>
      </c>
      <c r="B126" s="278" t="s">
        <v>137</v>
      </c>
      <c r="C126" s="281" t="s">
        <v>139</v>
      </c>
      <c r="D126" s="322">
        <v>10</v>
      </c>
      <c r="E126" s="323">
        <v>11.705128205128204</v>
      </c>
      <c r="F126" s="328">
        <f t="shared" si="9"/>
        <v>12.011439705128204</v>
      </c>
      <c r="G126" s="317"/>
      <c r="H126" s="326">
        <f t="shared" si="7"/>
        <v>11.857294871794871</v>
      </c>
      <c r="I126" s="326">
        <f t="shared" si="8"/>
        <v>12.011439705128204</v>
      </c>
    </row>
    <row r="127" spans="1:10" s="274" customFormat="1" x14ac:dyDescent="0.15">
      <c r="A127" s="274" t="str">
        <f t="shared" si="3"/>
        <v>VGNFWG2511</v>
      </c>
      <c r="B127" s="278" t="s">
        <v>137</v>
      </c>
      <c r="C127" s="281" t="s">
        <v>139</v>
      </c>
      <c r="D127" s="322">
        <v>11</v>
      </c>
      <c r="E127" s="323">
        <v>12.064102564102564</v>
      </c>
      <c r="F127" s="328">
        <f t="shared" si="9"/>
        <v>12.379808064102564</v>
      </c>
      <c r="G127" s="317"/>
      <c r="H127" s="326">
        <f t="shared" si="7"/>
        <v>12.220935897435897</v>
      </c>
      <c r="I127" s="326">
        <f t="shared" si="8"/>
        <v>12.379808064102564</v>
      </c>
    </row>
    <row r="128" spans="1:10" s="274" customFormat="1" x14ac:dyDescent="0.15">
      <c r="A128" s="274" t="str">
        <f t="shared" si="3"/>
        <v>VGNFWG2512</v>
      </c>
      <c r="B128" s="278" t="s">
        <v>137</v>
      </c>
      <c r="C128" s="281" t="s">
        <v>139</v>
      </c>
      <c r="D128" s="322">
        <v>12</v>
      </c>
      <c r="E128" s="323">
        <v>12.435897435897436</v>
      </c>
      <c r="F128" s="328">
        <f t="shared" si="9"/>
        <v>12.761332435897437</v>
      </c>
      <c r="G128" s="317"/>
      <c r="H128" s="326">
        <f t="shared" si="7"/>
        <v>12.597564102564103</v>
      </c>
      <c r="I128" s="326">
        <f t="shared" si="8"/>
        <v>12.761332435897437</v>
      </c>
    </row>
    <row r="129" spans="1:9" s="274" customFormat="1" x14ac:dyDescent="0.15">
      <c r="A129" s="274" t="str">
        <f t="shared" si="3"/>
        <v>VGNFWG2513</v>
      </c>
      <c r="B129" s="278" t="s">
        <v>137</v>
      </c>
      <c r="C129" s="281" t="s">
        <v>139</v>
      </c>
      <c r="D129" s="322">
        <v>13</v>
      </c>
      <c r="E129" s="323">
        <v>12.846153846153847</v>
      </c>
      <c r="F129" s="328">
        <f t="shared" si="9"/>
        <v>13.182324846153847</v>
      </c>
      <c r="G129" s="317"/>
      <c r="H129" s="326">
        <f t="shared" si="7"/>
        <v>13.013153846153847</v>
      </c>
      <c r="I129" s="326">
        <f t="shared" si="8"/>
        <v>13.182324846153847</v>
      </c>
    </row>
    <row r="130" spans="1:9" s="274" customFormat="1" x14ac:dyDescent="0.15">
      <c r="A130" s="274" t="str">
        <f t="shared" si="3"/>
        <v>VGNFWG2514</v>
      </c>
      <c r="B130" s="278" t="s">
        <v>137</v>
      </c>
      <c r="C130" s="281" t="s">
        <v>139</v>
      </c>
      <c r="D130" s="322">
        <v>14</v>
      </c>
      <c r="E130" s="323">
        <v>13.275641025641026</v>
      </c>
      <c r="F130" s="328">
        <f t="shared" si="9"/>
        <v>13.623051275641027</v>
      </c>
      <c r="G130" s="317"/>
      <c r="H130" s="326">
        <f t="shared" si="7"/>
        <v>13.448224358974359</v>
      </c>
      <c r="I130" s="326">
        <f t="shared" si="8"/>
        <v>13.623051275641027</v>
      </c>
    </row>
    <row r="131" spans="1:9" s="274" customFormat="1" x14ac:dyDescent="0.15">
      <c r="A131" s="274" t="str">
        <f t="shared" si="3"/>
        <v>VGNFWG2515</v>
      </c>
      <c r="B131" s="278" t="s">
        <v>137</v>
      </c>
      <c r="C131" s="281" t="s">
        <v>139</v>
      </c>
      <c r="D131" s="322">
        <v>15</v>
      </c>
      <c r="E131" s="323">
        <v>13.666666666666666</v>
      </c>
      <c r="F131" s="328">
        <f t="shared" si="9"/>
        <v>14.024309666666667</v>
      </c>
      <c r="G131" s="317"/>
      <c r="H131" s="326">
        <f t="shared" si="7"/>
        <v>13.844333333333333</v>
      </c>
      <c r="I131" s="326">
        <f t="shared" si="8"/>
        <v>14.024309666666667</v>
      </c>
    </row>
    <row r="132" spans="1:9" s="274" customFormat="1" x14ac:dyDescent="0.15">
      <c r="A132" s="274" t="str">
        <f t="shared" si="3"/>
        <v>VGNFWG2516</v>
      </c>
      <c r="B132" s="278" t="s">
        <v>137</v>
      </c>
      <c r="C132" s="281" t="s">
        <v>139</v>
      </c>
      <c r="D132" s="322">
        <v>16</v>
      </c>
      <c r="E132" s="323">
        <v>14.102564102564102</v>
      </c>
      <c r="F132" s="328">
        <f t="shared" si="9"/>
        <v>14.471614102564102</v>
      </c>
      <c r="G132" s="317"/>
      <c r="H132" s="326">
        <f t="shared" si="7"/>
        <v>14.285897435897436</v>
      </c>
      <c r="I132" s="326">
        <f t="shared" si="8"/>
        <v>14.471614102564102</v>
      </c>
    </row>
    <row r="133" spans="1:9" s="274" customFormat="1" x14ac:dyDescent="0.15">
      <c r="A133" s="274" t="str">
        <f t="shared" si="3"/>
        <v>VGNFWG2517</v>
      </c>
      <c r="B133" s="278" t="s">
        <v>137</v>
      </c>
      <c r="C133" s="281" t="s">
        <v>139</v>
      </c>
      <c r="D133" s="322">
        <v>17</v>
      </c>
      <c r="E133" s="323">
        <v>14.461538461538462</v>
      </c>
      <c r="F133" s="328">
        <f t="shared" si="9"/>
        <v>14.839982461538462</v>
      </c>
      <c r="G133" s="317"/>
      <c r="H133" s="326">
        <f t="shared" si="7"/>
        <v>14.649538461538462</v>
      </c>
      <c r="I133" s="326">
        <f t="shared" si="8"/>
        <v>14.839982461538462</v>
      </c>
    </row>
    <row r="134" spans="1:9" s="274" customFormat="1" x14ac:dyDescent="0.15">
      <c r="A134" s="274" t="str">
        <f t="shared" si="3"/>
        <v>VGNFWG2518</v>
      </c>
      <c r="B134" s="278" t="s">
        <v>137</v>
      </c>
      <c r="C134" s="281" t="s">
        <v>139</v>
      </c>
      <c r="D134" s="322">
        <v>18</v>
      </c>
      <c r="E134" s="323">
        <v>14.884615384615383</v>
      </c>
      <c r="F134" s="328">
        <f t="shared" si="9"/>
        <v>15.274130884615383</v>
      </c>
      <c r="G134" s="317"/>
      <c r="H134" s="326">
        <f t="shared" si="7"/>
        <v>15.078115384615383</v>
      </c>
      <c r="I134" s="326">
        <f t="shared" si="8"/>
        <v>15.274130884615383</v>
      </c>
    </row>
    <row r="135" spans="1:9" s="274" customFormat="1" x14ac:dyDescent="0.15">
      <c r="A135" s="274" t="str">
        <f t="shared" si="3"/>
        <v/>
      </c>
      <c r="D135" s="329"/>
      <c r="E135" s="330"/>
      <c r="F135" s="330"/>
      <c r="G135" s="336"/>
      <c r="H135" s="330"/>
      <c r="I135" s="330"/>
    </row>
    <row r="136" spans="1:9" s="274" customFormat="1" x14ac:dyDescent="0.15">
      <c r="A136" s="274" t="str">
        <f t="shared" si="3"/>
        <v/>
      </c>
      <c r="D136" s="331"/>
      <c r="E136" s="332"/>
      <c r="F136" s="332"/>
      <c r="G136" s="337"/>
      <c r="H136" s="332"/>
      <c r="I136" s="332"/>
    </row>
    <row r="137" spans="1:9" s="274" customFormat="1" x14ac:dyDescent="0.25">
      <c r="A137" s="274" t="str">
        <f t="shared" si="3"/>
        <v>VGNFWG30Inpasnr</v>
      </c>
      <c r="B137" s="278" t="s">
        <v>137</v>
      </c>
      <c r="C137" s="281" t="s">
        <v>140</v>
      </c>
      <c r="D137" s="319" t="s">
        <v>150</v>
      </c>
      <c r="E137" s="320" t="s">
        <v>151</v>
      </c>
      <c r="F137" s="320" t="s">
        <v>152</v>
      </c>
      <c r="G137" s="317"/>
      <c r="H137" s="333" t="s">
        <v>155</v>
      </c>
      <c r="I137" s="333" t="s">
        <v>155</v>
      </c>
    </row>
    <row r="138" spans="1:9" s="274" customFormat="1" x14ac:dyDescent="0.15">
      <c r="A138" s="274" t="str">
        <f t="shared" si="3"/>
        <v>VGNFWG306</v>
      </c>
      <c r="B138" s="278" t="s">
        <v>137</v>
      </c>
      <c r="C138" s="281" t="s">
        <v>140</v>
      </c>
      <c r="D138" s="322">
        <v>6</v>
      </c>
      <c r="E138" s="323">
        <v>10.532051282051281</v>
      </c>
      <c r="F138" s="328">
        <f t="shared" si="9"/>
        <v>10.80766453205128</v>
      </c>
      <c r="G138" s="317"/>
      <c r="H138" s="326">
        <f t="shared" si="7"/>
        <v>10.668967948717947</v>
      </c>
      <c r="I138" s="326">
        <f t="shared" si="8"/>
        <v>10.80766453205128</v>
      </c>
    </row>
    <row r="139" spans="1:9" s="274" customFormat="1" x14ac:dyDescent="0.15">
      <c r="A139" s="274" t="str">
        <f t="shared" si="3"/>
        <v>VGNFWG308</v>
      </c>
      <c r="B139" s="278" t="s">
        <v>137</v>
      </c>
      <c r="C139" s="281" t="s">
        <v>140</v>
      </c>
      <c r="D139" s="322">
        <v>8</v>
      </c>
      <c r="E139" s="323">
        <v>11.096153846153847</v>
      </c>
      <c r="F139" s="328">
        <f t="shared" si="9"/>
        <v>11.386529096153847</v>
      </c>
      <c r="G139" s="317"/>
      <c r="H139" s="326">
        <f t="shared" si="7"/>
        <v>11.240403846153846</v>
      </c>
      <c r="I139" s="326">
        <f t="shared" si="8"/>
        <v>11.386529096153847</v>
      </c>
    </row>
    <row r="140" spans="1:9" s="274" customFormat="1" x14ac:dyDescent="0.15">
      <c r="A140" s="274" t="str">
        <f t="shared" si="3"/>
        <v>VGNFWG3010</v>
      </c>
      <c r="B140" s="278" t="s">
        <v>137</v>
      </c>
      <c r="C140" s="281" t="s">
        <v>140</v>
      </c>
      <c r="D140" s="322">
        <v>10</v>
      </c>
      <c r="E140" s="323">
        <v>11.705128205128204</v>
      </c>
      <c r="F140" s="328">
        <f t="shared" si="9"/>
        <v>12.011439705128204</v>
      </c>
      <c r="G140" s="317"/>
      <c r="H140" s="326">
        <f t="shared" si="7"/>
        <v>11.857294871794871</v>
      </c>
      <c r="I140" s="326">
        <f t="shared" si="8"/>
        <v>12.011439705128204</v>
      </c>
    </row>
    <row r="141" spans="1:9" s="274" customFormat="1" x14ac:dyDescent="0.15">
      <c r="A141" s="274" t="str">
        <f t="shared" ref="A141:A149" si="10">B141&amp;C141&amp;D141</f>
        <v>VGNFWG3012</v>
      </c>
      <c r="B141" s="278" t="s">
        <v>137</v>
      </c>
      <c r="C141" s="281" t="s">
        <v>140</v>
      </c>
      <c r="D141" s="322">
        <v>12</v>
      </c>
      <c r="E141" s="323">
        <v>12.435897435897436</v>
      </c>
      <c r="F141" s="328">
        <f t="shared" si="9"/>
        <v>12.761332435897437</v>
      </c>
      <c r="G141" s="317"/>
      <c r="H141" s="326">
        <f t="shared" si="7"/>
        <v>12.597564102564103</v>
      </c>
      <c r="I141" s="326">
        <f t="shared" si="8"/>
        <v>12.761332435897437</v>
      </c>
    </row>
    <row r="142" spans="1:9" s="274" customFormat="1" x14ac:dyDescent="0.15">
      <c r="A142" s="274" t="str">
        <f t="shared" si="10"/>
        <v>VGNFWG3013</v>
      </c>
      <c r="B142" s="278" t="s">
        <v>137</v>
      </c>
      <c r="C142" s="281" t="s">
        <v>140</v>
      </c>
      <c r="D142" s="322">
        <v>13</v>
      </c>
      <c r="E142" s="323">
        <v>12.846153846153847</v>
      </c>
      <c r="F142" s="328">
        <f t="shared" si="9"/>
        <v>13.182324846153847</v>
      </c>
      <c r="G142" s="317"/>
      <c r="H142" s="326">
        <f t="shared" si="7"/>
        <v>13.013153846153847</v>
      </c>
      <c r="I142" s="326">
        <f t="shared" si="8"/>
        <v>13.182324846153847</v>
      </c>
    </row>
    <row r="143" spans="1:9" s="274" customFormat="1" x14ac:dyDescent="0.15">
      <c r="A143" s="274" t="str">
        <f t="shared" si="10"/>
        <v>VGNFWG3014</v>
      </c>
      <c r="B143" s="278" t="s">
        <v>137</v>
      </c>
      <c r="C143" s="281" t="s">
        <v>140</v>
      </c>
      <c r="D143" s="322">
        <v>14</v>
      </c>
      <c r="E143" s="323">
        <v>13.275641025641026</v>
      </c>
      <c r="F143" s="328">
        <f t="shared" si="9"/>
        <v>13.623051275641027</v>
      </c>
      <c r="G143" s="317"/>
      <c r="H143" s="326">
        <f t="shared" si="7"/>
        <v>13.448224358974359</v>
      </c>
      <c r="I143" s="326">
        <f t="shared" si="8"/>
        <v>13.623051275641027</v>
      </c>
    </row>
    <row r="144" spans="1:9" s="274" customFormat="1" x14ac:dyDescent="0.15">
      <c r="A144" s="274" t="str">
        <f t="shared" si="10"/>
        <v>VGNFWG3015</v>
      </c>
      <c r="B144" s="278" t="s">
        <v>137</v>
      </c>
      <c r="C144" s="281" t="s">
        <v>140</v>
      </c>
      <c r="D144" s="322">
        <v>15</v>
      </c>
      <c r="E144" s="323">
        <v>13.666666666666666</v>
      </c>
      <c r="F144" s="328">
        <f t="shared" si="9"/>
        <v>14.024309666666667</v>
      </c>
      <c r="G144" s="317"/>
      <c r="H144" s="326">
        <f t="shared" si="7"/>
        <v>13.844333333333333</v>
      </c>
      <c r="I144" s="326">
        <f t="shared" si="8"/>
        <v>14.024309666666667</v>
      </c>
    </row>
    <row r="145" spans="1:9" s="274" customFormat="1" x14ac:dyDescent="0.15">
      <c r="A145" s="274" t="str">
        <f t="shared" si="10"/>
        <v>VGNFWG3016</v>
      </c>
      <c r="B145" s="278" t="s">
        <v>137</v>
      </c>
      <c r="C145" s="281" t="s">
        <v>140</v>
      </c>
      <c r="D145" s="322">
        <v>16</v>
      </c>
      <c r="E145" s="323">
        <v>14.102564102564102</v>
      </c>
      <c r="F145" s="328">
        <f t="shared" si="9"/>
        <v>14.471614102564102</v>
      </c>
      <c r="G145" s="317"/>
      <c r="H145" s="326">
        <f t="shared" si="7"/>
        <v>14.285897435897436</v>
      </c>
      <c r="I145" s="326">
        <f t="shared" si="8"/>
        <v>14.471614102564102</v>
      </c>
    </row>
    <row r="146" spans="1:9" s="274" customFormat="1" x14ac:dyDescent="0.15">
      <c r="A146" s="274" t="str">
        <f t="shared" si="10"/>
        <v>VGNFWG3017</v>
      </c>
      <c r="B146" s="278" t="s">
        <v>137</v>
      </c>
      <c r="C146" s="281" t="s">
        <v>140</v>
      </c>
      <c r="D146" s="322">
        <v>17</v>
      </c>
      <c r="E146" s="323">
        <v>14.461538461538462</v>
      </c>
      <c r="F146" s="328">
        <f t="shared" si="9"/>
        <v>14.839982461538462</v>
      </c>
      <c r="G146" s="317"/>
      <c r="H146" s="326">
        <f t="shared" si="7"/>
        <v>14.649538461538462</v>
      </c>
      <c r="I146" s="326">
        <f t="shared" si="8"/>
        <v>14.839982461538462</v>
      </c>
    </row>
    <row r="147" spans="1:9" s="274" customFormat="1" x14ac:dyDescent="0.15">
      <c r="A147" s="274" t="str">
        <f t="shared" si="10"/>
        <v>VGNFWG3018</v>
      </c>
      <c r="B147" s="278" t="s">
        <v>137</v>
      </c>
      <c r="C147" s="281" t="s">
        <v>140</v>
      </c>
      <c r="D147" s="322">
        <v>18</v>
      </c>
      <c r="E147" s="323">
        <v>14.884615384615383</v>
      </c>
      <c r="F147" s="328">
        <f t="shared" si="9"/>
        <v>15.274130884615383</v>
      </c>
      <c r="G147" s="317"/>
      <c r="H147" s="326">
        <f t="shared" si="7"/>
        <v>15.078115384615383</v>
      </c>
      <c r="I147" s="326">
        <f t="shared" si="8"/>
        <v>15.274130884615383</v>
      </c>
    </row>
    <row r="148" spans="1:9" s="274" customFormat="1" x14ac:dyDescent="0.15">
      <c r="A148" s="274" t="str">
        <f t="shared" si="10"/>
        <v>VGNFWG3019</v>
      </c>
      <c r="B148" s="278" t="s">
        <v>137</v>
      </c>
      <c r="C148" s="281" t="s">
        <v>140</v>
      </c>
      <c r="D148" s="322">
        <v>19</v>
      </c>
      <c r="E148" s="323">
        <v>15.282051282051283</v>
      </c>
      <c r="F148" s="328">
        <f t="shared" si="9"/>
        <v>15.681967282051282</v>
      </c>
      <c r="G148" s="317"/>
      <c r="H148" s="326">
        <f t="shared" si="7"/>
        <v>15.480717948717949</v>
      </c>
      <c r="I148" s="326">
        <f t="shared" si="8"/>
        <v>15.681967282051282</v>
      </c>
    </row>
    <row r="149" spans="1:9" s="274" customFormat="1" x14ac:dyDescent="0.15">
      <c r="A149" s="274" t="str">
        <f t="shared" si="10"/>
        <v>VGNFWG3020</v>
      </c>
      <c r="B149" s="278" t="s">
        <v>137</v>
      </c>
      <c r="C149" s="281" t="s">
        <v>140</v>
      </c>
      <c r="D149" s="322">
        <v>20</v>
      </c>
      <c r="E149" s="323">
        <v>15.698717948717949</v>
      </c>
      <c r="F149" s="328">
        <f t="shared" si="9"/>
        <v>16.109537698717947</v>
      </c>
      <c r="G149" s="317"/>
      <c r="H149" s="326">
        <f t="shared" si="7"/>
        <v>15.902801282051282</v>
      </c>
      <c r="I149" s="326">
        <f t="shared" si="8"/>
        <v>16.109537698717947</v>
      </c>
    </row>
    <row r="150" spans="1:9" s="274" customFormat="1" x14ac:dyDescent="0.25">
      <c r="D150" s="291"/>
      <c r="E150" s="277"/>
    </row>
    <row r="151" spans="1:9" s="274" customFormat="1" x14ac:dyDescent="0.25">
      <c r="D151" s="291"/>
      <c r="E151" s="277"/>
    </row>
    <row r="152" spans="1:9" s="274" customFormat="1" x14ac:dyDescent="0.25">
      <c r="B152" s="274" t="s">
        <v>157</v>
      </c>
      <c r="D152" s="291"/>
      <c r="E152" s="277"/>
    </row>
    <row r="153" spans="1:9" s="274" customFormat="1" x14ac:dyDescent="0.25">
      <c r="D153" s="338" t="s">
        <v>13</v>
      </c>
      <c r="E153" s="339" t="s">
        <v>144</v>
      </c>
    </row>
    <row r="154" spans="1:9" s="274" customFormat="1" x14ac:dyDescent="0.25">
      <c r="A154" s="274" t="s">
        <v>158</v>
      </c>
      <c r="D154" s="321">
        <v>0</v>
      </c>
      <c r="E154" s="287">
        <v>10.35</v>
      </c>
    </row>
    <row r="155" spans="1:9" s="274" customFormat="1" x14ac:dyDescent="0.25">
      <c r="A155" s="274" t="s">
        <v>159</v>
      </c>
      <c r="D155" s="321">
        <v>1</v>
      </c>
      <c r="E155" s="287">
        <v>10.87</v>
      </c>
    </row>
    <row r="156" spans="1:9" s="274" customFormat="1" x14ac:dyDescent="0.25">
      <c r="A156" s="274" t="s">
        <v>160</v>
      </c>
      <c r="D156" s="321">
        <v>2</v>
      </c>
      <c r="E156" s="287">
        <v>11.38</v>
      </c>
    </row>
    <row r="157" spans="1:9" s="274" customFormat="1" x14ac:dyDescent="0.25">
      <c r="A157" s="274" t="s">
        <v>161</v>
      </c>
      <c r="D157" s="321">
        <v>3</v>
      </c>
      <c r="E157" s="287">
        <v>11.9</v>
      </c>
    </row>
    <row r="158" spans="1:9" s="274" customFormat="1" x14ac:dyDescent="0.25">
      <c r="A158" s="274" t="s">
        <v>162</v>
      </c>
      <c r="D158" s="321">
        <v>4</v>
      </c>
      <c r="E158" s="287">
        <v>12.42</v>
      </c>
    </row>
    <row r="159" spans="1:9" s="274" customFormat="1" x14ac:dyDescent="0.25">
      <c r="A159" s="274" t="s">
        <v>163</v>
      </c>
      <c r="D159" s="321">
        <v>5</v>
      </c>
      <c r="E159" s="287">
        <v>12.94</v>
      </c>
    </row>
    <row r="160" spans="1:9" s="274" customFormat="1" x14ac:dyDescent="0.25">
      <c r="D160" s="291"/>
      <c r="E160" s="277"/>
    </row>
    <row r="161" spans="1:6" s="274" customFormat="1" x14ac:dyDescent="0.25">
      <c r="D161" s="291"/>
      <c r="E161" s="277"/>
    </row>
    <row r="162" spans="1:6" x14ac:dyDescent="0.25">
      <c r="A162" s="278" t="s">
        <v>164</v>
      </c>
    </row>
    <row r="163" spans="1:6" x14ac:dyDescent="0.25">
      <c r="A163" s="274" t="s">
        <v>165</v>
      </c>
      <c r="F163" s="273">
        <v>1841.95</v>
      </c>
    </row>
  </sheetData>
  <sheetProtection algorithmName="SHA-512" hashValue="t4WkhfJa4+ryv9+HArdiMW01MTm5HoX5o9W9WBqIDPYFsG+17GPkjCDvk22noYrwqbSKqWPN0A2c2PVd3RJizw==" saltValue="z1llhySqTbXbXLh/5NJkK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13</vt:i4>
      </vt:variant>
    </vt:vector>
  </HeadingPairs>
  <TitlesOfParts>
    <vt:vector size="19" baseType="lpstr">
      <vt:lpstr>Invulblad HV schaal</vt:lpstr>
      <vt:lpstr>Invulblad CAO</vt:lpstr>
      <vt:lpstr>Pensioenpremie per loonschaal</vt:lpstr>
      <vt:lpstr>Pensioenpremie CAO</vt:lpstr>
      <vt:lpstr>Bruto-netto berekening</vt:lpstr>
      <vt:lpstr>VVT VGN HVschaal UURLONEN 17</vt:lpstr>
      <vt:lpstr>FWGschaal</vt:lpstr>
      <vt:lpstr>VGN</vt:lpstr>
      <vt:lpstr>VGNFWG10</vt:lpstr>
      <vt:lpstr>VGNFWG15</vt:lpstr>
      <vt:lpstr>VGNFWG20</vt:lpstr>
      <vt:lpstr>VGNFWG25</vt:lpstr>
      <vt:lpstr>VGNFWG30</vt:lpstr>
      <vt:lpstr>VVT</vt:lpstr>
      <vt:lpstr>VVTFWG10</vt:lpstr>
      <vt:lpstr>VVTFWG15</vt:lpstr>
      <vt:lpstr>VVTFWG20</vt:lpstr>
      <vt:lpstr>VVTFWG25</vt:lpstr>
      <vt:lpstr>VVTFWG30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Office-gebruiker</dc:creator>
  <cp:keywords/>
  <dc:description/>
  <cp:lastModifiedBy>Linda Hazenkamp</cp:lastModifiedBy>
  <cp:revision/>
  <dcterms:created xsi:type="dcterms:W3CDTF">2017-08-15T08:53:09Z</dcterms:created>
  <dcterms:modified xsi:type="dcterms:W3CDTF">2017-11-15T15:48:14Z</dcterms:modified>
  <cp:category/>
  <cp:contentStatus/>
</cp:coreProperties>
</file>